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7" yWindow="460" windowWidth="32767" windowHeight="20280" activeTab="0"/>
  </bookViews>
  <sheets>
    <sheet name="Begroting 2021-2022" sheetId="1" r:id="rId1"/>
    <sheet name="Begrotinbg 2020-2021" sheetId="2" r:id="rId2"/>
    <sheet name="Prognose 2020-2021" sheetId="3" r:id="rId3"/>
    <sheet name="Begroting 2019-2020" sheetId="4" r:id="rId4"/>
    <sheet name="Begroting 2018-2019" sheetId="5" r:id="rId5"/>
    <sheet name="Begroting 2017-2018" sheetId="6" r:id="rId6"/>
    <sheet name="Begroting 2016-2017" sheetId="7" r:id="rId7"/>
  </sheets>
  <definedNames>
    <definedName name="_xlnm.Print_Area" localSheetId="3">'Begroting 2019-2020'!$A$1:$V$61</definedName>
    <definedName name="_xlnm.Print_Area" localSheetId="0">'Begroting 2021-2022'!$A$1:$V$75</definedName>
    <definedName name="_xlnm.Print_Area" localSheetId="2">'Prognose 2020-2021'!$A$1:$V$60</definedName>
    <definedName name="_xlnm.Print_Area">'Begroting 2016-2017'!$A$1:$N$68</definedName>
    <definedName name="_xlnm.Print_Titles" localSheetId="0">'Begroting 2021-2022'!$1:$5</definedName>
    <definedName name="_xlnm.Print_Titles">'Begroting 2016-2017'!$3:$5</definedName>
  </definedNames>
  <calcPr fullCalcOnLoad="1"/>
</workbook>
</file>

<file path=xl/sharedStrings.xml><?xml version="1.0" encoding="utf-8"?>
<sst xmlns="http://schemas.openxmlformats.org/spreadsheetml/2006/main" count="673" uniqueCount="76">
  <si>
    <t>Verzekeringen</t>
  </si>
  <si>
    <t>Trainers</t>
  </si>
  <si>
    <t>Overige huisvestingskosten</t>
  </si>
  <si>
    <t>Bankkosten</t>
  </si>
  <si>
    <t xml:space="preserve">BEGROTING </t>
  </si>
  <si>
    <t>REALISATIE</t>
  </si>
  <si>
    <t>€</t>
  </si>
  <si>
    <t>B A T E N</t>
  </si>
  <si>
    <t>Contributies</t>
  </si>
  <si>
    <t>L A S T E N</t>
  </si>
  <si>
    <t>HUISVESTINGSKOSTEN</t>
  </si>
  <si>
    <t>Schoonmaakkosten</t>
  </si>
  <si>
    <t>TOTAAL LASTEN</t>
  </si>
  <si>
    <t xml:space="preserve"> </t>
  </si>
  <si>
    <t>2014/2015</t>
  </si>
  <si>
    <t>2013/2014</t>
  </si>
  <si>
    <t>Omzet sponsors</t>
  </si>
  <si>
    <t>Opbrengst acties</t>
  </si>
  <si>
    <t>Overige omzet</t>
  </si>
  <si>
    <t>PERSONEELSKOSTEN</t>
  </si>
  <si>
    <t>Overige kosten</t>
  </si>
  <si>
    <t>Jeugdtrainers</t>
  </si>
  <si>
    <t>Inventaris</t>
  </si>
  <si>
    <t>Voorziening groot onderhoud</t>
  </si>
  <si>
    <t>Klein onderhoud</t>
  </si>
  <si>
    <t>Energie</t>
  </si>
  <si>
    <t>Telefoon/Internet</t>
  </si>
  <si>
    <t>KOSTEN VELDEN</t>
  </si>
  <si>
    <t>KOSTEN KNHB</t>
  </si>
  <si>
    <t>Contributie KNHB</t>
  </si>
  <si>
    <t>Boetes KNHB</t>
  </si>
  <si>
    <t>Overige kosten KNHB</t>
  </si>
  <si>
    <t>BESTUURSKOSTEN</t>
  </si>
  <si>
    <t>Secretariaatskosten</t>
  </si>
  <si>
    <t>TECHNISCHE COMMISSIE</t>
  </si>
  <si>
    <t>Materiaalkosten</t>
  </si>
  <si>
    <t>Sportprijzen</t>
  </si>
  <si>
    <t>Overige kosten technische commissie</t>
  </si>
  <si>
    <t>OVERIGE KOSTEN</t>
  </si>
  <si>
    <t>LISA</t>
  </si>
  <si>
    <t>RESULTAAT</t>
  </si>
  <si>
    <t>Omzet bar en evenementen</t>
  </si>
  <si>
    <t>Inkoop bar en evenementen</t>
  </si>
  <si>
    <t>Financiële baten en lasten</t>
  </si>
  <si>
    <t>2015/2016</t>
  </si>
  <si>
    <t>BEGROTING 2016/2017</t>
  </si>
  <si>
    <t>2016/2017</t>
  </si>
  <si>
    <t>Opleidingskosten</t>
  </si>
  <si>
    <t>Administratiekosten</t>
  </si>
  <si>
    <t>Bestuurskosten</t>
  </si>
  <si>
    <t>Huur kunstgras/zaal</t>
  </si>
  <si>
    <t>BEGROTING 2017/2018</t>
  </si>
  <si>
    <t>2017/2018</t>
  </si>
  <si>
    <t>Videosysteem</t>
  </si>
  <si>
    <t>BEGROTING 2018/2019</t>
  </si>
  <si>
    <t>2018/2019</t>
  </si>
  <si>
    <t>Opbrengst acties/loterijen</t>
  </si>
  <si>
    <t>Afschrijvingskosten inventaris</t>
  </si>
  <si>
    <t>2019/2020</t>
  </si>
  <si>
    <t>BEGROTING 2019/2020</t>
  </si>
  <si>
    <t>BEGROTING 2020/2021</t>
  </si>
  <si>
    <t>2020/2021</t>
  </si>
  <si>
    <t>PROGNOSE</t>
  </si>
  <si>
    <t>Bijzondere posten</t>
  </si>
  <si>
    <t>Overige techn. commissie</t>
  </si>
  <si>
    <t>2021/2022</t>
  </si>
  <si>
    <t>Huurkorting</t>
  </si>
  <si>
    <t>Opbrengst oud ijzer</t>
  </si>
  <si>
    <t>Jubileum 50 jaar</t>
  </si>
  <si>
    <t>BEGROTING 2021/2022</t>
  </si>
  <si>
    <t>Doorber. huisvestingskosten</t>
  </si>
  <si>
    <t>Doorber. energiekosten</t>
  </si>
  <si>
    <t>Doorber. huur Fioretti</t>
  </si>
  <si>
    <t>Investering veld 1 (10 jr.)</t>
  </si>
  <si>
    <t>Afschrijvingskst. inventaris</t>
  </si>
  <si>
    <t>DOORBEREKENDE KOSTEN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</si>
</sst>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quot;F&quot;\ * #,##0.00_-;_-&quot;F&quot;\ * #,##0.00\-;_-&quot;F&quot;\ * &quot;-&quot;??_-;_-@_-"/>
    <numFmt numFmtId="169" formatCode="#,##0_-"/>
    <numFmt numFmtId="170" formatCode="&quot;€&quot;\ #,##0.00"/>
  </numFmts>
  <fonts count="44">
    <font>
      <sz val="11"/>
      <name val="Arial"/>
      <family val="0"/>
    </font>
    <font>
      <u val="single"/>
      <sz val="12"/>
      <color indexed="36"/>
      <name val="Times New Roman"/>
      <family val="1"/>
    </font>
    <font>
      <u val="single"/>
      <sz val="12"/>
      <color indexed="12"/>
      <name val="Times New Roman"/>
      <family val="1"/>
    </font>
    <font>
      <sz val="12"/>
      <name val="Times New Roman"/>
      <family val="1"/>
    </font>
    <font>
      <b/>
      <sz val="12"/>
      <name val="Times New Roman"/>
      <family val="1"/>
    </font>
    <fon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21"/>
      <name val="Times New Roman"/>
      <family val="1"/>
    </font>
    <font>
      <sz val="12"/>
      <color indexed="10"/>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rgb="FF00B050"/>
      <name val="Times New Roman"/>
      <family val="1"/>
    </font>
    <font>
      <sz val="12"/>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1" fillId="0" borderId="0" applyNumberFormat="0" applyFill="0" applyBorder="0" applyAlignment="0" applyProtection="0"/>
    <xf numFmtId="0" fontId="30" fillId="28" borderId="0" applyNumberFormat="0" applyBorder="0" applyAlignment="0" applyProtection="0"/>
    <xf numFmtId="0" fontId="2" fillId="0" borderId="0" applyNumberFormat="0" applyFill="0" applyBorder="0" applyAlignment="0" applyProtection="0"/>
    <xf numFmtId="0" fontId="31" fillId="29"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168" fontId="3"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8">
    <xf numFmtId="0" fontId="0" fillId="0" borderId="0" xfId="0" applyAlignment="1">
      <alignment/>
    </xf>
    <xf numFmtId="0" fontId="3" fillId="0" borderId="0" xfId="56">
      <alignment/>
      <protection/>
    </xf>
    <xf numFmtId="0" fontId="4" fillId="0" borderId="0" xfId="56" applyFont="1">
      <alignment/>
      <protection/>
    </xf>
    <xf numFmtId="169" fontId="3" fillId="0" borderId="0" xfId="56" applyNumberFormat="1">
      <alignment/>
      <protection/>
    </xf>
    <xf numFmtId="0" fontId="3" fillId="0" borderId="0" xfId="57">
      <alignment/>
      <protection/>
    </xf>
    <xf numFmtId="169" fontId="3" fillId="0" borderId="0" xfId="63" applyNumberFormat="1" applyFont="1" applyAlignment="1">
      <alignment horizontal="center"/>
    </xf>
    <xf numFmtId="0" fontId="3" fillId="0" borderId="10" xfId="63" applyNumberFormat="1" applyBorder="1" applyAlignment="1">
      <alignment horizontal="center"/>
    </xf>
    <xf numFmtId="0" fontId="3" fillId="0" borderId="0" xfId="57" applyNumberFormat="1">
      <alignment/>
      <protection/>
    </xf>
    <xf numFmtId="0" fontId="3" fillId="0" borderId="11" xfId="63" applyNumberFormat="1" applyFont="1" applyBorder="1" applyAlignment="1">
      <alignment horizontal="center"/>
    </xf>
    <xf numFmtId="0" fontId="3" fillId="0" borderId="0" xfId="63" applyNumberFormat="1" applyFont="1" applyBorder="1" applyAlignment="1">
      <alignment horizontal="center"/>
    </xf>
    <xf numFmtId="0" fontId="4" fillId="0" borderId="0" xfId="57" applyFont="1">
      <alignment/>
      <protection/>
    </xf>
    <xf numFmtId="0" fontId="3" fillId="0" borderId="0" xfId="57" applyFont="1">
      <alignment/>
      <protection/>
    </xf>
    <xf numFmtId="0" fontId="3" fillId="0" borderId="0" xfId="57" applyFont="1">
      <alignment/>
      <protection/>
    </xf>
    <xf numFmtId="169" fontId="3" fillId="0" borderId="0" xfId="56" applyNumberFormat="1" applyFill="1">
      <alignment/>
      <protection/>
    </xf>
    <xf numFmtId="0" fontId="3" fillId="0" borderId="0" xfId="57" applyFill="1">
      <alignment/>
      <protection/>
    </xf>
    <xf numFmtId="169" fontId="3" fillId="0" borderId="12" xfId="56" applyNumberFormat="1" applyBorder="1">
      <alignment/>
      <protection/>
    </xf>
    <xf numFmtId="0" fontId="42" fillId="0" borderId="0" xfId="56" applyFont="1">
      <alignment/>
      <protection/>
    </xf>
    <xf numFmtId="170" fontId="42" fillId="0" borderId="0" xfId="56" applyNumberFormat="1" applyFont="1">
      <alignment/>
      <protection/>
    </xf>
    <xf numFmtId="170" fontId="43" fillId="0" borderId="0" xfId="56" applyNumberFormat="1" applyFont="1">
      <alignment/>
      <protection/>
    </xf>
    <xf numFmtId="0" fontId="3" fillId="0" borderId="0" xfId="56" applyBorder="1">
      <alignment/>
      <protection/>
    </xf>
    <xf numFmtId="169" fontId="3" fillId="0" borderId="12" xfId="56" applyNumberFormat="1" applyFill="1" applyBorder="1">
      <alignment/>
      <protection/>
    </xf>
    <xf numFmtId="169" fontId="3" fillId="0" borderId="0" xfId="63" applyNumberFormat="1" applyFont="1" applyFill="1" applyAlignment="1">
      <alignment horizontal="center"/>
    </xf>
    <xf numFmtId="0" fontId="3" fillId="0" borderId="0" xfId="63" applyNumberFormat="1" applyFill="1" applyBorder="1" applyAlignment="1">
      <alignment horizontal="center"/>
    </xf>
    <xf numFmtId="0" fontId="3" fillId="0" borderId="0" xfId="63" applyNumberFormat="1" applyFont="1" applyFill="1" applyBorder="1" applyAlignment="1">
      <alignment horizontal="center"/>
    </xf>
    <xf numFmtId="169" fontId="3" fillId="0" borderId="0" xfId="56" applyNumberFormat="1" applyFill="1" applyBorder="1">
      <alignment/>
      <protection/>
    </xf>
    <xf numFmtId="169" fontId="3" fillId="0" borderId="13" xfId="56" applyNumberFormat="1" applyBorder="1">
      <alignment/>
      <protection/>
    </xf>
    <xf numFmtId="0" fontId="3" fillId="0" borderId="10" xfId="63" applyNumberFormat="1" applyFill="1" applyBorder="1" applyAlignment="1">
      <alignment horizontal="center"/>
    </xf>
    <xf numFmtId="0" fontId="3" fillId="0" borderId="11" xfId="63" applyNumberFormat="1" applyFont="1" applyFill="1" applyBorder="1" applyAlignment="1">
      <alignment horizontal="center"/>
    </xf>
    <xf numFmtId="169" fontId="3" fillId="0" borderId="14" xfId="56" applyNumberFormat="1" applyFill="1" applyBorder="1">
      <alignment/>
      <protection/>
    </xf>
    <xf numFmtId="169" fontId="3" fillId="0" borderId="14" xfId="56" applyNumberFormat="1" applyBorder="1">
      <alignment/>
      <protection/>
    </xf>
    <xf numFmtId="3" fontId="3" fillId="0" borderId="0" xfId="57" applyNumberFormat="1">
      <alignment/>
      <protection/>
    </xf>
    <xf numFmtId="3" fontId="3" fillId="0" borderId="0" xfId="57" applyNumberFormat="1" applyFont="1">
      <alignment/>
      <protection/>
    </xf>
    <xf numFmtId="3" fontId="4" fillId="0" borderId="0" xfId="57" applyNumberFormat="1" applyFont="1">
      <alignment/>
      <protection/>
    </xf>
    <xf numFmtId="3" fontId="3" fillId="0" borderId="12" xfId="57" applyNumberFormat="1" applyBorder="1">
      <alignment/>
      <protection/>
    </xf>
    <xf numFmtId="3" fontId="4" fillId="0" borderId="0" xfId="56" applyNumberFormat="1" applyFont="1">
      <alignment/>
      <protection/>
    </xf>
    <xf numFmtId="3" fontId="3" fillId="0" borderId="0" xfId="57" applyNumberFormat="1" applyAlignment="1">
      <alignment horizontal="center"/>
      <protection/>
    </xf>
    <xf numFmtId="3" fontId="3" fillId="0" borderId="11" xfId="63" applyNumberFormat="1" applyFont="1" applyFill="1" applyBorder="1" applyAlignment="1">
      <alignment horizontal="center"/>
    </xf>
    <xf numFmtId="3" fontId="3" fillId="0" borderId="0" xfId="56" applyNumberFormat="1" applyFill="1">
      <alignment/>
      <protection/>
    </xf>
    <xf numFmtId="3" fontId="3" fillId="0" borderId="0" xfId="56" applyNumberFormat="1">
      <alignment/>
      <protection/>
    </xf>
    <xf numFmtId="3" fontId="3" fillId="0" borderId="0" xfId="57" applyNumberFormat="1" applyFill="1">
      <alignment/>
      <protection/>
    </xf>
    <xf numFmtId="3" fontId="3" fillId="0" borderId="10" xfId="63" applyNumberFormat="1" applyFill="1" applyBorder="1" applyAlignment="1">
      <alignment horizontal="center"/>
    </xf>
    <xf numFmtId="3" fontId="3" fillId="0" borderId="0" xfId="57" applyNumberFormat="1" applyBorder="1">
      <alignment/>
      <protection/>
    </xf>
    <xf numFmtId="169" fontId="3" fillId="0" borderId="0" xfId="56" applyNumberFormat="1" applyBorder="1">
      <alignment/>
      <protection/>
    </xf>
    <xf numFmtId="0" fontId="3" fillId="0" borderId="0" xfId="57" applyBorder="1">
      <alignment/>
      <protection/>
    </xf>
    <xf numFmtId="0" fontId="3" fillId="0" borderId="0" xfId="57" applyAlignment="1">
      <alignment horizontal="center"/>
      <protection/>
    </xf>
    <xf numFmtId="3" fontId="3" fillId="0" borderId="0" xfId="63" applyNumberFormat="1" applyFont="1" applyFill="1" applyBorder="1" applyAlignment="1">
      <alignment horizontal="center"/>
    </xf>
    <xf numFmtId="0" fontId="4" fillId="0" borderId="0" xfId="56" applyFont="1" applyAlignment="1">
      <alignment horizontal="center"/>
      <protection/>
    </xf>
    <xf numFmtId="0" fontId="3" fillId="0" borderId="0" xfId="56" applyFont="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jaarbericht 2006" xfId="56"/>
    <cellStyle name="Standaard_jaarrekening 2005" xfId="57"/>
    <cellStyle name="Titel" xfId="58"/>
    <cellStyle name="Totaal" xfId="59"/>
    <cellStyle name="Uitvoer" xfId="60"/>
    <cellStyle name="Currency" xfId="61"/>
    <cellStyle name="Currency [0]" xfId="62"/>
    <cellStyle name="Valuta_jaarbericht  2004  mdmh" xfId="63"/>
    <cellStyle name="Verklarende tekst" xfId="64"/>
    <cellStyle name="Waarschuwingsteks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1"/>
  <sheetViews>
    <sheetView tabSelected="1" zoomScale="150" zoomScaleNormal="150" zoomScalePageLayoutView="0" workbookViewId="0" topLeftCell="A1">
      <pane ySplit="5" topLeftCell="A6" activePane="bottomLeft" state="frozen"/>
      <selection pane="topLeft" activeCell="A1" sqref="A1"/>
      <selection pane="bottomLeft" activeCell="X6" sqref="X6"/>
    </sheetView>
  </sheetViews>
  <sheetFormatPr defaultColWidth="9.00390625" defaultRowHeight="14.25"/>
  <cols>
    <col min="1" max="1" width="23.00390625" style="1" customWidth="1"/>
    <col min="2" max="2" width="12.50390625" style="1" customWidth="1"/>
    <col min="3" max="3" width="1.00390625" style="1" customWidth="1"/>
    <col min="4" max="4" width="12.50390625" style="1" customWidth="1"/>
    <col min="5" max="5" width="1.00390625" style="1" customWidth="1"/>
    <col min="6" max="6" width="12.50390625" style="1" customWidth="1"/>
    <col min="7" max="7" width="1.00390625" style="1" customWidth="1"/>
    <col min="8" max="8" width="12.50390625" style="38" customWidth="1"/>
    <col min="9" max="9" width="1.00390625" style="1" customWidth="1"/>
    <col min="10" max="10" width="12.50390625" style="13" bestFit="1" customWidth="1"/>
    <col min="11" max="11" width="1.4921875" style="1" hidden="1" customWidth="1"/>
    <col min="12" max="12" width="10.875" style="38" hidden="1" customWidth="1"/>
    <col min="13" max="13" width="1.4921875" style="1" hidden="1" customWidth="1"/>
    <col min="14" max="14" width="12.50390625" style="13" hidden="1" customWidth="1"/>
    <col min="15" max="15" width="1.4921875" style="13" hidden="1" customWidth="1"/>
    <col min="16" max="16" width="11.625" style="3" hidden="1" customWidth="1"/>
    <col min="17" max="17" width="1.4921875" style="1" hidden="1" customWidth="1"/>
    <col min="18" max="18" width="12.50390625" style="3" hidden="1" customWidth="1"/>
    <col min="19" max="19" width="1.4921875" style="1" hidden="1" customWidth="1"/>
    <col min="20" max="20" width="11.625" style="3" hidden="1" customWidth="1"/>
    <col min="21" max="21" width="1.4921875" style="1" hidden="1" customWidth="1"/>
    <col min="22" max="22" width="12.50390625" style="3" hidden="1" customWidth="1"/>
    <col min="23" max="23" width="9.00390625" style="1" customWidth="1"/>
    <col min="24" max="24" width="10.50390625" style="1" bestFit="1" customWidth="1"/>
    <col min="25" max="16384" width="9.00390625" style="1" customWidth="1"/>
  </cols>
  <sheetData>
    <row r="1" spans="1:22" ht="15.75">
      <c r="A1" s="46" t="s">
        <v>69</v>
      </c>
      <c r="B1" s="46"/>
      <c r="C1" s="46"/>
      <c r="D1" s="46"/>
      <c r="E1" s="46"/>
      <c r="F1" s="46"/>
      <c r="G1" s="46"/>
      <c r="H1" s="46"/>
      <c r="I1" s="46"/>
      <c r="J1" s="47"/>
      <c r="K1" s="47"/>
      <c r="L1" s="47"/>
      <c r="M1" s="47"/>
      <c r="N1" s="47"/>
      <c r="O1" s="47"/>
      <c r="P1" s="47"/>
      <c r="Q1" s="47"/>
      <c r="R1" s="47"/>
      <c r="S1" s="47"/>
      <c r="T1" s="47"/>
      <c r="U1" s="47"/>
      <c r="V1" s="47"/>
    </row>
    <row r="2" spans="1:13" ht="15.75">
      <c r="A2" s="2"/>
      <c r="B2" s="2"/>
      <c r="C2" s="2"/>
      <c r="D2" s="2"/>
      <c r="E2" s="2"/>
      <c r="F2" s="2"/>
      <c r="G2" s="2"/>
      <c r="H2" s="34"/>
      <c r="I2" s="2"/>
      <c r="K2" s="2"/>
      <c r="L2" s="34"/>
      <c r="M2" s="2"/>
    </row>
    <row r="3" spans="1:22" ht="15.75">
      <c r="A3" s="4"/>
      <c r="B3" s="21" t="s">
        <v>4</v>
      </c>
      <c r="C3" s="44"/>
      <c r="D3" s="44" t="s">
        <v>5</v>
      </c>
      <c r="E3" s="44"/>
      <c r="F3" s="21" t="s">
        <v>4</v>
      </c>
      <c r="G3" s="44"/>
      <c r="H3" s="44" t="s">
        <v>5</v>
      </c>
      <c r="I3" s="44"/>
      <c r="J3" s="21" t="s">
        <v>4</v>
      </c>
      <c r="K3" s="4"/>
      <c r="L3" s="30" t="s">
        <v>5</v>
      </c>
      <c r="M3" s="30"/>
      <c r="N3" s="21" t="s">
        <v>4</v>
      </c>
      <c r="O3" s="4"/>
      <c r="P3" s="5" t="s">
        <v>5</v>
      </c>
      <c r="Q3" s="4"/>
      <c r="R3" s="21" t="s">
        <v>4</v>
      </c>
      <c r="S3" s="4"/>
      <c r="T3" s="5" t="s">
        <v>5</v>
      </c>
      <c r="U3" s="4"/>
      <c r="V3" s="5" t="s">
        <v>4</v>
      </c>
    </row>
    <row r="4" spans="1:22" ht="15.75">
      <c r="A4" s="4"/>
      <c r="B4" s="26" t="s">
        <v>65</v>
      </c>
      <c r="C4" s="44"/>
      <c r="D4" s="44" t="s">
        <v>61</v>
      </c>
      <c r="E4" s="44"/>
      <c r="F4" s="26" t="s">
        <v>61</v>
      </c>
      <c r="G4" s="44"/>
      <c r="H4" s="44" t="s">
        <v>58</v>
      </c>
      <c r="I4" s="44"/>
      <c r="J4" s="26" t="s">
        <v>58</v>
      </c>
      <c r="K4" s="4"/>
      <c r="L4" s="40" t="s">
        <v>46</v>
      </c>
      <c r="M4" s="26"/>
      <c r="N4" s="26" t="s">
        <v>46</v>
      </c>
      <c r="O4" s="4"/>
      <c r="P4" s="6" t="s">
        <v>14</v>
      </c>
      <c r="Q4" s="4"/>
      <c r="R4" s="26" t="s">
        <v>14</v>
      </c>
      <c r="S4" s="7"/>
      <c r="T4" s="6" t="s">
        <v>15</v>
      </c>
      <c r="U4" s="7"/>
      <c r="V4" s="6" t="s">
        <v>15</v>
      </c>
    </row>
    <row r="5" spans="1:22" ht="15.75">
      <c r="A5" s="4"/>
      <c r="B5" s="27" t="s">
        <v>6</v>
      </c>
      <c r="C5" s="27"/>
      <c r="D5" s="27" t="s">
        <v>6</v>
      </c>
      <c r="E5" s="27"/>
      <c r="F5" s="27" t="s">
        <v>6</v>
      </c>
      <c r="G5" s="27"/>
      <c r="H5" s="27" t="s">
        <v>6</v>
      </c>
      <c r="I5" s="27"/>
      <c r="J5" s="27" t="s">
        <v>6</v>
      </c>
      <c r="K5" s="4"/>
      <c r="L5" s="36" t="s">
        <v>6</v>
      </c>
      <c r="M5" s="36"/>
      <c r="N5" s="27" t="s">
        <v>6</v>
      </c>
      <c r="O5" s="4"/>
      <c r="P5" s="8" t="s">
        <v>6</v>
      </c>
      <c r="Q5" s="4"/>
      <c r="R5" s="27" t="s">
        <v>6</v>
      </c>
      <c r="S5" s="7"/>
      <c r="T5" s="8" t="s">
        <v>6</v>
      </c>
      <c r="U5" s="7"/>
      <c r="V5" s="8" t="s">
        <v>6</v>
      </c>
    </row>
    <row r="6" spans="1:22" ht="15.75">
      <c r="A6" s="4"/>
      <c r="B6" s="23"/>
      <c r="C6" s="23"/>
      <c r="D6" s="23"/>
      <c r="E6" s="23"/>
      <c r="F6" s="23"/>
      <c r="G6" s="23"/>
      <c r="H6" s="23"/>
      <c r="I6" s="23"/>
      <c r="J6" s="23"/>
      <c r="K6" s="4"/>
      <c r="L6" s="45"/>
      <c r="M6" s="45"/>
      <c r="N6" s="23"/>
      <c r="O6" s="4"/>
      <c r="P6" s="9"/>
      <c r="Q6" s="4"/>
      <c r="R6" s="23"/>
      <c r="S6" s="7"/>
      <c r="T6" s="9"/>
      <c r="U6" s="7"/>
      <c r="V6" s="9"/>
    </row>
    <row r="7" spans="1:24" ht="15.75">
      <c r="A7" s="10" t="s">
        <v>7</v>
      </c>
      <c r="B7" s="10"/>
      <c r="C7" s="10"/>
      <c r="D7" s="10"/>
      <c r="E7" s="10"/>
      <c r="F7" s="10"/>
      <c r="G7" s="10"/>
      <c r="H7" s="10"/>
      <c r="I7" s="10"/>
      <c r="J7" s="10"/>
      <c r="K7" s="10"/>
      <c r="L7" s="32"/>
      <c r="M7" s="10"/>
      <c r="N7" s="23"/>
      <c r="O7" s="4"/>
      <c r="P7" s="9"/>
      <c r="Q7" s="4"/>
      <c r="R7" s="23"/>
      <c r="S7" s="7"/>
      <c r="T7" s="9"/>
      <c r="U7" s="7"/>
      <c r="V7" s="9"/>
      <c r="X7" s="16"/>
    </row>
    <row r="8" spans="1:24" ht="15.75">
      <c r="A8" s="4" t="s">
        <v>8</v>
      </c>
      <c r="B8" s="13">
        <f>FLOOR(H8*1,1000)</f>
        <v>209000</v>
      </c>
      <c r="C8" s="4"/>
      <c r="D8" s="30">
        <v>173019</v>
      </c>
      <c r="E8" s="4"/>
      <c r="F8" s="13">
        <f>FLOOR(H8*1.04,1000)-17000-25000</f>
        <v>175000</v>
      </c>
      <c r="G8" s="4"/>
      <c r="H8" s="30">
        <v>209052</v>
      </c>
      <c r="I8" s="4"/>
      <c r="J8" s="13">
        <v>192000</v>
      </c>
      <c r="K8" s="30"/>
      <c r="L8" s="30">
        <v>182776.25</v>
      </c>
      <c r="M8" s="30"/>
      <c r="N8" s="13">
        <f>(142000*1.09)+20220</f>
        <v>175000</v>
      </c>
      <c r="O8" s="4"/>
      <c r="P8" s="3">
        <v>148920</v>
      </c>
      <c r="Q8" s="4"/>
      <c r="R8" s="13">
        <v>130000</v>
      </c>
      <c r="S8" s="4"/>
      <c r="T8" s="3">
        <v>146869</v>
      </c>
      <c r="U8" s="4"/>
      <c r="V8" s="3">
        <v>123000</v>
      </c>
      <c r="X8" s="17" t="s">
        <v>13</v>
      </c>
    </row>
    <row r="9" spans="1:24" ht="15.75">
      <c r="A9" s="4" t="s">
        <v>16</v>
      </c>
      <c r="B9" s="13">
        <v>23000</v>
      </c>
      <c r="C9" s="4"/>
      <c r="D9" s="30">
        <v>26820</v>
      </c>
      <c r="E9" s="4"/>
      <c r="F9" s="13">
        <v>26500</v>
      </c>
      <c r="G9" s="4"/>
      <c r="H9" s="30">
        <v>26537</v>
      </c>
      <c r="I9" s="4"/>
      <c r="J9" s="13">
        <v>28000</v>
      </c>
      <c r="K9" s="30"/>
      <c r="L9" s="30">
        <v>40540</v>
      </c>
      <c r="M9" s="30"/>
      <c r="N9" s="13">
        <v>37000</v>
      </c>
      <c r="O9" s="4"/>
      <c r="P9" s="3">
        <f>34704.2+627.5+227.5</f>
        <v>35559.2</v>
      </c>
      <c r="Q9" s="4"/>
      <c r="R9" s="13">
        <v>30000</v>
      </c>
      <c r="S9" s="4"/>
      <c r="T9" s="3">
        <v>27602</v>
      </c>
      <c r="U9" s="4"/>
      <c r="V9" s="3">
        <v>23000</v>
      </c>
      <c r="X9" s="18" t="s">
        <v>13</v>
      </c>
    </row>
    <row r="10" spans="1:24" ht="15.75">
      <c r="A10" s="14" t="s">
        <v>41</v>
      </c>
      <c r="B10" s="13">
        <v>50000</v>
      </c>
      <c r="C10" s="14"/>
      <c r="D10" s="39">
        <v>21802</v>
      </c>
      <c r="E10" s="14"/>
      <c r="F10" s="13">
        <v>17000</v>
      </c>
      <c r="G10" s="14"/>
      <c r="H10" s="39">
        <v>44111</v>
      </c>
      <c r="I10" s="14"/>
      <c r="J10" s="13">
        <f>72500+5000</f>
        <v>77500</v>
      </c>
      <c r="K10" s="39"/>
      <c r="L10" s="39">
        <v>73356</v>
      </c>
      <c r="M10" s="39"/>
      <c r="N10" s="13">
        <v>70000</v>
      </c>
      <c r="O10" s="4"/>
      <c r="P10" s="3">
        <v>62469</v>
      </c>
      <c r="Q10" s="4"/>
      <c r="R10" s="13">
        <v>54450</v>
      </c>
      <c r="S10" s="4"/>
      <c r="T10" s="3">
        <v>57803</v>
      </c>
      <c r="U10" s="4"/>
      <c r="V10" s="3">
        <v>53900</v>
      </c>
      <c r="X10" s="17"/>
    </row>
    <row r="11" spans="1:26" ht="15.75">
      <c r="A11" s="4" t="s">
        <v>56</v>
      </c>
      <c r="B11" s="13">
        <v>7500</v>
      </c>
      <c r="C11" s="4"/>
      <c r="D11" s="30">
        <v>9074</v>
      </c>
      <c r="E11" s="4"/>
      <c r="F11" s="13">
        <v>5000</v>
      </c>
      <c r="G11" s="4"/>
      <c r="H11" s="30">
        <v>1915</v>
      </c>
      <c r="I11" s="4"/>
      <c r="J11" s="13">
        <v>7500</v>
      </c>
      <c r="K11" s="30"/>
      <c r="L11" s="30">
        <v>9893</v>
      </c>
      <c r="M11" s="30"/>
      <c r="N11" s="13">
        <v>7000</v>
      </c>
      <c r="O11" s="4"/>
      <c r="P11" s="3">
        <v>7307</v>
      </c>
      <c r="Q11" s="4"/>
      <c r="R11" s="13">
        <v>6000</v>
      </c>
      <c r="S11" s="4"/>
      <c r="T11" s="3">
        <f>4466+2791+967</f>
        <v>8224</v>
      </c>
      <c r="U11" s="4"/>
      <c r="V11" s="3">
        <v>7700</v>
      </c>
      <c r="X11" s="17" t="s">
        <v>13</v>
      </c>
      <c r="Z11" s="19" t="s">
        <v>13</v>
      </c>
    </row>
    <row r="12" spans="1:24" ht="16.5" thickBot="1">
      <c r="A12" s="4" t="s">
        <v>18</v>
      </c>
      <c r="B12" s="20">
        <v>0</v>
      </c>
      <c r="C12" s="4"/>
      <c r="D12" s="33">
        <v>0</v>
      </c>
      <c r="E12" s="4"/>
      <c r="F12" s="20">
        <v>0</v>
      </c>
      <c r="G12" s="4"/>
      <c r="H12" s="33">
        <v>0</v>
      </c>
      <c r="I12" s="4"/>
      <c r="J12" s="20">
        <v>1500</v>
      </c>
      <c r="K12" s="30"/>
      <c r="L12" s="33">
        <v>1596</v>
      </c>
      <c r="M12" s="33"/>
      <c r="N12" s="20">
        <v>2000</v>
      </c>
      <c r="O12" s="4"/>
      <c r="P12" s="15">
        <v>750</v>
      </c>
      <c r="Q12" s="4"/>
      <c r="R12" s="20">
        <v>0</v>
      </c>
      <c r="S12" s="4"/>
      <c r="T12" s="15">
        <v>100</v>
      </c>
      <c r="U12" s="4"/>
      <c r="V12" s="15">
        <v>0</v>
      </c>
      <c r="X12" s="17"/>
    </row>
    <row r="13" spans="1:26" ht="15.75">
      <c r="A13" s="4"/>
      <c r="B13" s="13">
        <f>SUM(B8:B12)</f>
        <v>289500</v>
      </c>
      <c r="C13" s="4"/>
      <c r="D13" s="37">
        <f>SUM(D8:D12)</f>
        <v>230715</v>
      </c>
      <c r="E13" s="4"/>
      <c r="F13" s="13">
        <f>SUM(F8:F12)</f>
        <v>223500</v>
      </c>
      <c r="G13" s="4"/>
      <c r="H13" s="37">
        <f>SUM(H8:H12)</f>
        <v>281615</v>
      </c>
      <c r="I13" s="4"/>
      <c r="J13" s="13">
        <f>SUM(J8:J12)</f>
        <v>306500</v>
      </c>
      <c r="K13" s="30"/>
      <c r="L13" s="30">
        <f>SUM(L8:L12)</f>
        <v>308161.25</v>
      </c>
      <c r="M13" s="30"/>
      <c r="N13" s="13">
        <f>SUM(N8:N12)</f>
        <v>291000</v>
      </c>
      <c r="O13" s="4"/>
      <c r="P13" s="3">
        <f>SUM(P8:P12)</f>
        <v>255005.2</v>
      </c>
      <c r="Q13" s="4"/>
      <c r="R13" s="13">
        <f>SUM(R8:R12)</f>
        <v>220450</v>
      </c>
      <c r="S13" s="4"/>
      <c r="T13" s="3">
        <f>SUM(T8:T12)</f>
        <v>240598</v>
      </c>
      <c r="U13" s="4"/>
      <c r="V13" s="3">
        <f>SUM(V8:V12)</f>
        <v>207600</v>
      </c>
      <c r="X13" s="17"/>
      <c r="Z13" s="3"/>
    </row>
    <row r="14" spans="1:24" ht="15.75">
      <c r="A14" s="10" t="s">
        <v>9</v>
      </c>
      <c r="B14" s="13"/>
      <c r="C14" s="10"/>
      <c r="D14" s="32"/>
      <c r="E14" s="10"/>
      <c r="F14" s="13"/>
      <c r="G14" s="10"/>
      <c r="H14" s="32"/>
      <c r="I14" s="10"/>
      <c r="K14" s="32"/>
      <c r="L14" s="32"/>
      <c r="M14" s="32"/>
      <c r="O14" s="12"/>
      <c r="Q14" s="4"/>
      <c r="R14" s="13"/>
      <c r="S14" s="4"/>
      <c r="U14" s="4"/>
      <c r="X14" s="17"/>
    </row>
    <row r="15" spans="1:24" ht="16.5" thickBot="1">
      <c r="A15" s="4" t="s">
        <v>42</v>
      </c>
      <c r="B15" s="20">
        <f>CEILING(B10/1.37,1000)-1000</f>
        <v>36000</v>
      </c>
      <c r="C15" s="4"/>
      <c r="D15" s="33">
        <v>14745</v>
      </c>
      <c r="E15" s="4"/>
      <c r="F15" s="20">
        <f>CEILING(F10/1.37,1000)-1000</f>
        <v>12000</v>
      </c>
      <c r="G15" s="4"/>
      <c r="H15" s="33">
        <v>24382</v>
      </c>
      <c r="I15" s="4"/>
      <c r="J15" s="20">
        <f>CEILING(J10/1.37,1000)-3500</f>
        <v>53500</v>
      </c>
      <c r="K15" s="30"/>
      <c r="L15" s="33">
        <v>53993</v>
      </c>
      <c r="M15" s="30"/>
      <c r="N15" s="20">
        <v>51000</v>
      </c>
      <c r="O15" s="4"/>
      <c r="P15" s="15">
        <v>43882</v>
      </c>
      <c r="Q15" s="4"/>
      <c r="R15" s="20">
        <v>38000</v>
      </c>
      <c r="S15" s="4"/>
      <c r="T15" s="15">
        <v>48500</v>
      </c>
      <c r="U15" s="11"/>
      <c r="V15" s="15">
        <v>36800</v>
      </c>
      <c r="X15" s="17" t="s">
        <v>13</v>
      </c>
    </row>
    <row r="16" spans="1:24" ht="15.75">
      <c r="A16" s="4"/>
      <c r="B16" s="13">
        <f>SUM(B15:B15)</f>
        <v>36000</v>
      </c>
      <c r="C16" s="4"/>
      <c r="D16" s="37">
        <f>SUM(D15:D15)</f>
        <v>14745</v>
      </c>
      <c r="E16" s="4"/>
      <c r="F16" s="13">
        <f>SUM(F15:F15)</f>
        <v>12000</v>
      </c>
      <c r="G16" s="4"/>
      <c r="H16" s="37">
        <f>SUM(H15:H15)</f>
        <v>24382</v>
      </c>
      <c r="I16" s="4"/>
      <c r="J16" s="13">
        <f>SUM(J15:J15)</f>
        <v>53500</v>
      </c>
      <c r="K16" s="30"/>
      <c r="L16" s="37">
        <f>SUM(L15:L15)</f>
        <v>53993</v>
      </c>
      <c r="M16" s="30"/>
      <c r="N16" s="13">
        <f>SUM(N15:N15)</f>
        <v>51000</v>
      </c>
      <c r="O16" s="4"/>
      <c r="P16" s="3">
        <f>SUM(P15:P15)</f>
        <v>43882</v>
      </c>
      <c r="Q16" s="4"/>
      <c r="R16" s="13">
        <f>SUM(R15:R15)</f>
        <v>38000</v>
      </c>
      <c r="S16" s="4"/>
      <c r="T16" s="3">
        <f>SUM(T15:T15)</f>
        <v>48500</v>
      </c>
      <c r="U16" s="4"/>
      <c r="V16" s="3">
        <f>SUM(V15:V15)</f>
        <v>36800</v>
      </c>
      <c r="X16" s="17"/>
    </row>
    <row r="17" spans="1:24" ht="15.75">
      <c r="A17" s="10" t="s">
        <v>19</v>
      </c>
      <c r="B17" s="13"/>
      <c r="C17" s="10"/>
      <c r="D17" s="32"/>
      <c r="E17" s="10"/>
      <c r="F17" s="13"/>
      <c r="G17" s="10"/>
      <c r="H17" s="32"/>
      <c r="I17" s="10"/>
      <c r="K17" s="32"/>
      <c r="L17" s="32"/>
      <c r="M17" s="32"/>
      <c r="O17" s="10"/>
      <c r="Q17" s="4"/>
      <c r="R17" s="13"/>
      <c r="S17" s="4"/>
      <c r="U17" s="11"/>
      <c r="X17" s="17"/>
    </row>
    <row r="18" spans="1:24" ht="15.75">
      <c r="A18" s="4" t="s">
        <v>1</v>
      </c>
      <c r="B18" s="13">
        <v>80000</v>
      </c>
      <c r="C18" s="4"/>
      <c r="D18" s="30">
        <v>97655</v>
      </c>
      <c r="E18" s="4"/>
      <c r="F18" s="13">
        <f>85000+3600</f>
        <v>88600</v>
      </c>
      <c r="G18" s="4"/>
      <c r="H18" s="30">
        <v>97496</v>
      </c>
      <c r="I18" s="4"/>
      <c r="J18" s="13">
        <v>101000</v>
      </c>
      <c r="K18" s="30"/>
      <c r="L18" s="13">
        <v>77809.57</v>
      </c>
      <c r="M18" s="30"/>
      <c r="N18" s="13">
        <v>78500</v>
      </c>
      <c r="O18" s="4"/>
      <c r="P18" s="3">
        <v>79751</v>
      </c>
      <c r="Q18" s="4"/>
      <c r="R18" s="13">
        <v>72000</v>
      </c>
      <c r="S18" s="4"/>
      <c r="T18" s="3">
        <v>73155</v>
      </c>
      <c r="U18" s="11"/>
      <c r="V18" s="3">
        <v>70000</v>
      </c>
      <c r="X18" s="17" t="s">
        <v>13</v>
      </c>
    </row>
    <row r="19" spans="1:24" ht="16.5" thickBot="1">
      <c r="A19" s="4" t="s">
        <v>21</v>
      </c>
      <c r="B19" s="20">
        <v>35000</v>
      </c>
      <c r="C19" s="4"/>
      <c r="D19" s="33">
        <f>24678+98</f>
        <v>24776</v>
      </c>
      <c r="E19" s="4"/>
      <c r="F19" s="20">
        <f>20000</f>
        <v>20000</v>
      </c>
      <c r="G19" s="4"/>
      <c r="H19" s="33">
        <v>13868</v>
      </c>
      <c r="I19" s="4"/>
      <c r="J19" s="20">
        <v>15000</v>
      </c>
      <c r="K19" s="30"/>
      <c r="L19" s="20">
        <v>25588.65</v>
      </c>
      <c r="M19" s="30"/>
      <c r="N19" s="20">
        <v>23000</v>
      </c>
      <c r="O19" s="4"/>
      <c r="P19" s="15">
        <v>13384</v>
      </c>
      <c r="Q19" s="4"/>
      <c r="R19" s="20">
        <v>12000</v>
      </c>
      <c r="S19" s="4"/>
      <c r="T19" s="15">
        <v>11515</v>
      </c>
      <c r="U19" s="4"/>
      <c r="V19" s="15">
        <v>12500</v>
      </c>
      <c r="X19" s="17" t="s">
        <v>13</v>
      </c>
    </row>
    <row r="20" spans="1:24" ht="15.75">
      <c r="A20" s="4"/>
      <c r="B20" s="13">
        <f>SUM(B17:B19)</f>
        <v>115000</v>
      </c>
      <c r="C20" s="4"/>
      <c r="D20" s="30">
        <f>SUM(D18:D19)</f>
        <v>122431</v>
      </c>
      <c r="E20" s="4"/>
      <c r="F20" s="13">
        <f>SUM(F17:F19)</f>
        <v>108600</v>
      </c>
      <c r="G20" s="4"/>
      <c r="H20" s="30">
        <f>SUM(H18:H19)</f>
        <v>111364</v>
      </c>
      <c r="I20" s="4"/>
      <c r="J20" s="13">
        <f>SUM(J17:J19)</f>
        <v>116000</v>
      </c>
      <c r="K20" s="30"/>
      <c r="L20" s="13">
        <f>SUM(L17:L19)</f>
        <v>103398.22</v>
      </c>
      <c r="M20" s="30"/>
      <c r="N20" s="13">
        <f>SUM(N17:N19)</f>
        <v>101500</v>
      </c>
      <c r="O20" s="4"/>
      <c r="P20" s="3">
        <f>SUM(P17:P19)</f>
        <v>93135</v>
      </c>
      <c r="Q20" s="4"/>
      <c r="R20" s="13">
        <f>SUM(R17:R19)</f>
        <v>84000</v>
      </c>
      <c r="S20" s="4"/>
      <c r="T20" s="3">
        <f>SUM(T17:T19)</f>
        <v>84670</v>
      </c>
      <c r="U20" s="4"/>
      <c r="V20" s="3">
        <f>SUM(V17:V19)</f>
        <v>82500</v>
      </c>
      <c r="X20" s="17"/>
    </row>
    <row r="21" spans="1:24" ht="15.75">
      <c r="A21" s="10" t="s">
        <v>10</v>
      </c>
      <c r="B21" s="13"/>
      <c r="C21" s="10"/>
      <c r="D21" s="32"/>
      <c r="E21" s="10"/>
      <c r="F21" s="13"/>
      <c r="G21" s="10"/>
      <c r="H21" s="32"/>
      <c r="I21" s="10"/>
      <c r="K21" s="32"/>
      <c r="L21" s="13"/>
      <c r="M21" s="32"/>
      <c r="O21" s="10"/>
      <c r="Q21" s="4"/>
      <c r="R21" s="13"/>
      <c r="S21" s="4"/>
      <c r="U21" s="4"/>
      <c r="X21" s="17"/>
    </row>
    <row r="22" spans="1:24" ht="15.75">
      <c r="A22" s="4" t="s">
        <v>74</v>
      </c>
      <c r="B22" s="13">
        <v>3500</v>
      </c>
      <c r="C22" s="4"/>
      <c r="D22" s="30">
        <v>3518</v>
      </c>
      <c r="E22" s="4"/>
      <c r="F22" s="13">
        <v>3000</v>
      </c>
      <c r="G22" s="4"/>
      <c r="H22" s="30">
        <v>3062</v>
      </c>
      <c r="I22" s="4"/>
      <c r="J22" s="13">
        <v>3000</v>
      </c>
      <c r="K22" s="30"/>
      <c r="L22" s="13">
        <v>0</v>
      </c>
      <c r="M22" s="30"/>
      <c r="N22" s="13">
        <v>0</v>
      </c>
      <c r="O22" s="4"/>
      <c r="P22" s="3">
        <v>213</v>
      </c>
      <c r="Q22" s="4"/>
      <c r="R22" s="13">
        <v>1500</v>
      </c>
      <c r="S22" s="4"/>
      <c r="T22" s="3">
        <v>0</v>
      </c>
      <c r="U22" s="4"/>
      <c r="V22" s="3">
        <v>3000</v>
      </c>
      <c r="X22" s="17" t="s">
        <v>13</v>
      </c>
    </row>
    <row r="23" spans="1:24" ht="15.75" hidden="1">
      <c r="A23" s="4" t="s">
        <v>23</v>
      </c>
      <c r="B23" s="13">
        <v>0</v>
      </c>
      <c r="C23" s="4"/>
      <c r="D23" s="30">
        <v>0</v>
      </c>
      <c r="E23" s="4"/>
      <c r="F23" s="13">
        <v>0</v>
      </c>
      <c r="G23" s="4"/>
      <c r="H23" s="30">
        <v>0</v>
      </c>
      <c r="I23" s="4"/>
      <c r="J23" s="13">
        <v>0</v>
      </c>
      <c r="K23" s="30"/>
      <c r="L23" s="13">
        <v>3630</v>
      </c>
      <c r="M23" s="30"/>
      <c r="N23" s="13">
        <v>7500</v>
      </c>
      <c r="O23" s="4"/>
      <c r="P23" s="3">
        <v>3630</v>
      </c>
      <c r="Q23" s="4"/>
      <c r="R23" s="13">
        <v>3630</v>
      </c>
      <c r="S23" s="4"/>
      <c r="T23" s="3">
        <v>3630</v>
      </c>
      <c r="U23" s="4"/>
      <c r="V23" s="3">
        <v>3630</v>
      </c>
      <c r="X23" s="17"/>
    </row>
    <row r="24" spans="1:24" ht="15.75">
      <c r="A24" s="4" t="s">
        <v>24</v>
      </c>
      <c r="B24" s="13">
        <v>4250</v>
      </c>
      <c r="C24" s="4"/>
      <c r="D24" s="30">
        <v>6836</v>
      </c>
      <c r="E24" s="4"/>
      <c r="F24" s="13">
        <v>4000</v>
      </c>
      <c r="G24" s="4"/>
      <c r="H24" s="30">
        <v>2086</v>
      </c>
      <c r="I24" s="4"/>
      <c r="J24" s="13">
        <v>4000</v>
      </c>
      <c r="K24" s="30"/>
      <c r="L24" s="13">
        <v>6804.39</v>
      </c>
      <c r="M24" s="30"/>
      <c r="N24" s="13">
        <v>6500</v>
      </c>
      <c r="O24" s="4"/>
      <c r="P24" s="3">
        <v>5661</v>
      </c>
      <c r="Q24" s="4"/>
      <c r="R24" s="13">
        <v>4000</v>
      </c>
      <c r="S24" s="4"/>
      <c r="T24" s="3">
        <v>3796</v>
      </c>
      <c r="U24" s="4"/>
      <c r="V24" s="3">
        <v>4000</v>
      </c>
      <c r="X24" s="17"/>
    </row>
    <row r="25" spans="1:24" ht="15.75">
      <c r="A25" s="4" t="s">
        <v>0</v>
      </c>
      <c r="B25" s="13">
        <v>5250</v>
      </c>
      <c r="C25" s="4"/>
      <c r="D25" s="30">
        <v>5298</v>
      </c>
      <c r="E25" s="4"/>
      <c r="F25" s="13">
        <v>5000</v>
      </c>
      <c r="G25" s="4"/>
      <c r="H25" s="30">
        <v>5157</v>
      </c>
      <c r="I25" s="4"/>
      <c r="J25" s="13">
        <v>4500</v>
      </c>
      <c r="K25" s="30"/>
      <c r="L25" s="13">
        <v>4872.64</v>
      </c>
      <c r="M25" s="30"/>
      <c r="N25" s="13">
        <v>4000</v>
      </c>
      <c r="O25" s="4"/>
      <c r="P25" s="3">
        <v>2760</v>
      </c>
      <c r="Q25" s="4"/>
      <c r="R25" s="13">
        <v>4250</v>
      </c>
      <c r="S25" s="4"/>
      <c r="T25" s="3">
        <v>5231</v>
      </c>
      <c r="U25" s="4"/>
      <c r="V25" s="3">
        <v>4250</v>
      </c>
      <c r="X25" s="17"/>
    </row>
    <row r="26" spans="1:24" ht="15.75">
      <c r="A26" s="4" t="s">
        <v>11</v>
      </c>
      <c r="B26" s="13">
        <v>2500</v>
      </c>
      <c r="C26" s="4"/>
      <c r="D26" s="30">
        <v>1127</v>
      </c>
      <c r="E26" s="4"/>
      <c r="F26" s="13">
        <v>1500</v>
      </c>
      <c r="G26" s="4"/>
      <c r="H26" s="30">
        <v>1648</v>
      </c>
      <c r="I26" s="4"/>
      <c r="J26" s="13">
        <v>5000</v>
      </c>
      <c r="K26" s="30"/>
      <c r="L26" s="13">
        <v>6492.12</v>
      </c>
      <c r="M26" s="30"/>
      <c r="N26" s="13">
        <v>6500</v>
      </c>
      <c r="O26" s="4"/>
      <c r="P26" s="3">
        <v>4556</v>
      </c>
      <c r="Q26" s="4"/>
      <c r="R26" s="13">
        <v>3000</v>
      </c>
      <c r="S26" s="4"/>
      <c r="T26" s="3">
        <v>2850</v>
      </c>
      <c r="U26" s="4"/>
      <c r="V26" s="3">
        <v>1650</v>
      </c>
      <c r="X26" s="17"/>
    </row>
    <row r="27" spans="1:27" ht="15.75">
      <c r="A27" s="4" t="s">
        <v>25</v>
      </c>
      <c r="B27" s="13">
        <v>12000</v>
      </c>
      <c r="C27" s="4"/>
      <c r="D27" s="30">
        <v>12699</v>
      </c>
      <c r="E27" s="4"/>
      <c r="F27" s="13">
        <v>9000</v>
      </c>
      <c r="G27" s="4"/>
      <c r="H27" s="30">
        <v>8770</v>
      </c>
      <c r="I27" s="4"/>
      <c r="J27" s="13">
        <v>11000</v>
      </c>
      <c r="K27" s="30"/>
      <c r="L27" s="13">
        <v>10630.65</v>
      </c>
      <c r="M27" s="30"/>
      <c r="N27" s="13">
        <v>7500</v>
      </c>
      <c r="O27" s="4"/>
      <c r="P27" s="3">
        <v>11297</v>
      </c>
      <c r="Q27" s="4"/>
      <c r="R27" s="13">
        <v>17500</v>
      </c>
      <c r="S27" s="4"/>
      <c r="T27" s="3">
        <v>17657</v>
      </c>
      <c r="U27" s="4"/>
      <c r="V27" s="3">
        <v>13000</v>
      </c>
      <c r="X27" s="18" t="s">
        <v>13</v>
      </c>
      <c r="AA27" s="1" t="s">
        <v>13</v>
      </c>
    </row>
    <row r="28" spans="1:24" ht="15.75">
      <c r="A28" s="4" t="s">
        <v>26</v>
      </c>
      <c r="B28" s="13">
        <v>1500</v>
      </c>
      <c r="C28" s="4"/>
      <c r="D28" s="30">
        <v>1762</v>
      </c>
      <c r="E28" s="4"/>
      <c r="F28" s="13">
        <v>1500</v>
      </c>
      <c r="G28" s="4"/>
      <c r="H28" s="30">
        <v>1949</v>
      </c>
      <c r="I28" s="4"/>
      <c r="J28" s="13">
        <v>2000</v>
      </c>
      <c r="K28" s="30"/>
      <c r="L28" s="13">
        <v>4241.24</v>
      </c>
      <c r="M28" s="30"/>
      <c r="N28" s="13">
        <v>1500</v>
      </c>
      <c r="O28" s="4"/>
      <c r="P28" s="3">
        <v>1766</v>
      </c>
      <c r="Q28" s="4"/>
      <c r="R28" s="13">
        <v>1250</v>
      </c>
      <c r="S28" s="4"/>
      <c r="T28" s="3">
        <v>1352</v>
      </c>
      <c r="U28" s="4"/>
      <c r="V28" s="3">
        <v>1750</v>
      </c>
      <c r="X28" s="18"/>
    </row>
    <row r="29" spans="1:24" ht="16.5" thickBot="1">
      <c r="A29" s="4" t="s">
        <v>2</v>
      </c>
      <c r="B29" s="20">
        <v>14000</v>
      </c>
      <c r="C29" s="4"/>
      <c r="D29" s="33">
        <v>14261</v>
      </c>
      <c r="E29" s="4"/>
      <c r="F29" s="20">
        <v>14000</v>
      </c>
      <c r="G29" s="4"/>
      <c r="H29" s="33">
        <v>10542</v>
      </c>
      <c r="I29" s="4"/>
      <c r="J29" s="20">
        <v>10000</v>
      </c>
      <c r="K29" s="30"/>
      <c r="L29" s="20">
        <v>7224.45</v>
      </c>
      <c r="M29" s="30"/>
      <c r="N29" s="20">
        <v>6500</v>
      </c>
      <c r="O29" s="4"/>
      <c r="P29" s="15">
        <v>8846</v>
      </c>
      <c r="Q29" s="4"/>
      <c r="R29" s="20">
        <v>5000</v>
      </c>
      <c r="S29" s="4"/>
      <c r="T29" s="15">
        <v>8445</v>
      </c>
      <c r="U29" s="4"/>
      <c r="V29" s="15">
        <v>5000</v>
      </c>
      <c r="X29" s="17"/>
    </row>
    <row r="30" spans="1:24" ht="15.75" customHeight="1">
      <c r="A30" s="4"/>
      <c r="B30" s="13">
        <f>SUM(B21:B29)</f>
        <v>43000</v>
      </c>
      <c r="C30" s="4"/>
      <c r="D30" s="30">
        <f>SUM(D22:D29)</f>
        <v>45501</v>
      </c>
      <c r="E30" s="4"/>
      <c r="F30" s="13">
        <f>SUM(F21:F29)</f>
        <v>38000</v>
      </c>
      <c r="G30" s="4"/>
      <c r="H30" s="30">
        <f>SUM(H22:H29)</f>
        <v>33214</v>
      </c>
      <c r="I30" s="4"/>
      <c r="J30" s="13">
        <f>SUM(J21:J29)</f>
        <v>39500</v>
      </c>
      <c r="K30" s="30"/>
      <c r="L30" s="13">
        <f>SUM(L21:L29)</f>
        <v>43895.48999999999</v>
      </c>
      <c r="M30" s="30"/>
      <c r="N30" s="13">
        <f>SUM(N21:N29)</f>
        <v>40000</v>
      </c>
      <c r="O30" s="4"/>
      <c r="P30" s="3">
        <f>SUM(P21:P29)</f>
        <v>38729</v>
      </c>
      <c r="Q30" s="4"/>
      <c r="R30" s="13">
        <f>SUM(R21:R29)</f>
        <v>40130</v>
      </c>
      <c r="S30" s="4"/>
      <c r="T30" s="3">
        <f>SUM(T21:T29)</f>
        <v>42961</v>
      </c>
      <c r="U30" s="4"/>
      <c r="V30" s="3">
        <f>SUM(V21:V29)</f>
        <v>36280</v>
      </c>
      <c r="X30" s="17"/>
    </row>
    <row r="31" spans="1:24" ht="15.75" customHeight="1">
      <c r="A31" s="4"/>
      <c r="B31" s="13"/>
      <c r="C31" s="4"/>
      <c r="D31" s="30"/>
      <c r="E31" s="4"/>
      <c r="F31" s="13"/>
      <c r="G31" s="4"/>
      <c r="H31" s="30"/>
      <c r="I31" s="4"/>
      <c r="K31" s="30"/>
      <c r="L31" s="13"/>
      <c r="M31" s="30"/>
      <c r="O31" s="4"/>
      <c r="Q31" s="4"/>
      <c r="R31" s="13"/>
      <c r="S31" s="4"/>
      <c r="U31" s="4"/>
      <c r="X31" s="17"/>
    </row>
    <row r="32" spans="1:24" ht="15.75" customHeight="1">
      <c r="A32" s="4"/>
      <c r="B32" s="13"/>
      <c r="C32" s="4"/>
      <c r="D32" s="30"/>
      <c r="E32" s="4"/>
      <c r="F32" s="13"/>
      <c r="G32" s="4"/>
      <c r="H32" s="30"/>
      <c r="I32" s="4"/>
      <c r="K32" s="30"/>
      <c r="L32" s="13"/>
      <c r="M32" s="30"/>
      <c r="O32" s="4"/>
      <c r="Q32" s="4"/>
      <c r="R32" s="13"/>
      <c r="S32" s="4"/>
      <c r="U32" s="4"/>
      <c r="X32" s="17"/>
    </row>
    <row r="33" spans="1:24" ht="15.75">
      <c r="A33" s="10" t="s">
        <v>75</v>
      </c>
      <c r="B33" s="13"/>
      <c r="C33" s="10"/>
      <c r="D33" s="32"/>
      <c r="E33" s="10"/>
      <c r="F33" s="13"/>
      <c r="G33" s="10"/>
      <c r="H33" s="32"/>
      <c r="I33" s="10"/>
      <c r="K33" s="32"/>
      <c r="L33" s="13"/>
      <c r="M33" s="32"/>
      <c r="O33" s="10"/>
      <c r="Q33" s="4"/>
      <c r="R33" s="13"/>
      <c r="S33" s="4"/>
      <c r="U33" s="4"/>
      <c r="X33" s="17"/>
    </row>
    <row r="34" spans="1:24" ht="15.75" customHeight="1">
      <c r="A34" s="4" t="s">
        <v>72</v>
      </c>
      <c r="B34" s="13">
        <v>-10000</v>
      </c>
      <c r="C34" s="4"/>
      <c r="D34" s="30">
        <v>-13003</v>
      </c>
      <c r="E34" s="4"/>
      <c r="F34" s="13">
        <v>0</v>
      </c>
      <c r="G34" s="4"/>
      <c r="H34" s="30">
        <v>0</v>
      </c>
      <c r="I34" s="4"/>
      <c r="J34" s="13">
        <v>0</v>
      </c>
      <c r="K34" s="30"/>
      <c r="L34" s="13"/>
      <c r="M34" s="30"/>
      <c r="O34" s="4"/>
      <c r="Q34" s="4"/>
      <c r="R34" s="13"/>
      <c r="S34" s="4"/>
      <c r="U34" s="4"/>
      <c r="X34" s="17"/>
    </row>
    <row r="35" spans="1:24" ht="15.75" customHeight="1">
      <c r="A35" s="4" t="s">
        <v>71</v>
      </c>
      <c r="B35" s="13">
        <v>-2500</v>
      </c>
      <c r="C35" s="4"/>
      <c r="D35" s="30">
        <v>-5246</v>
      </c>
      <c r="E35" s="4"/>
      <c r="F35" s="13">
        <v>0</v>
      </c>
      <c r="G35" s="4"/>
      <c r="H35" s="30">
        <v>0</v>
      </c>
      <c r="I35" s="4"/>
      <c r="J35" s="13">
        <v>0</v>
      </c>
      <c r="K35" s="30"/>
      <c r="L35" s="13"/>
      <c r="M35" s="30"/>
      <c r="O35" s="4"/>
      <c r="Q35" s="4"/>
      <c r="R35" s="13"/>
      <c r="S35" s="4"/>
      <c r="U35" s="4"/>
      <c r="X35" s="17"/>
    </row>
    <row r="36" spans="1:24" ht="15.75" customHeight="1">
      <c r="A36" s="4" t="s">
        <v>70</v>
      </c>
      <c r="B36" s="13">
        <v>-1000</v>
      </c>
      <c r="C36" s="4"/>
      <c r="D36" s="30">
        <v>-1778</v>
      </c>
      <c r="E36" s="4"/>
      <c r="F36" s="13">
        <v>0</v>
      </c>
      <c r="G36" s="4"/>
      <c r="H36" s="30">
        <v>0</v>
      </c>
      <c r="I36" s="4"/>
      <c r="J36" s="13">
        <v>0</v>
      </c>
      <c r="K36" s="30"/>
      <c r="L36" s="13"/>
      <c r="M36" s="30"/>
      <c r="O36" s="4"/>
      <c r="Q36" s="4"/>
      <c r="R36" s="13"/>
      <c r="S36" s="4"/>
      <c r="U36" s="4"/>
      <c r="X36" s="17"/>
    </row>
    <row r="37" spans="1:24" ht="15.75" customHeight="1" thickBot="1">
      <c r="A37" s="1" t="s">
        <v>67</v>
      </c>
      <c r="B37" s="20">
        <v>0</v>
      </c>
      <c r="C37" s="4"/>
      <c r="D37" s="33">
        <v>-1042</v>
      </c>
      <c r="E37" s="4"/>
      <c r="F37" s="20">
        <v>0</v>
      </c>
      <c r="G37" s="4"/>
      <c r="H37" s="33">
        <v>0</v>
      </c>
      <c r="I37" s="4"/>
      <c r="J37" s="20">
        <v>0</v>
      </c>
      <c r="K37" s="30"/>
      <c r="L37" s="13"/>
      <c r="M37" s="30"/>
      <c r="O37" s="4"/>
      <c r="Q37" s="4"/>
      <c r="R37" s="13"/>
      <c r="S37" s="4"/>
      <c r="U37" s="4"/>
      <c r="X37" s="17"/>
    </row>
    <row r="38" spans="1:24" ht="15.75" customHeight="1">
      <c r="A38" s="4"/>
      <c r="B38" s="30">
        <f>SUM(B34:B37)</f>
        <v>-13500</v>
      </c>
      <c r="C38" s="4"/>
      <c r="D38" s="30">
        <f>SUM(D34:D37)</f>
        <v>-21069</v>
      </c>
      <c r="E38" s="4"/>
      <c r="F38" s="30">
        <f>SUM(F34:F37)</f>
        <v>0</v>
      </c>
      <c r="G38" s="4"/>
      <c r="H38" s="30">
        <f>SUM(H34:H37)</f>
        <v>0</v>
      </c>
      <c r="I38" s="4"/>
      <c r="J38" s="30">
        <f>SUM(J34:J37)</f>
        <v>0</v>
      </c>
      <c r="K38" s="30"/>
      <c r="L38" s="13"/>
      <c r="M38" s="30"/>
      <c r="O38" s="4"/>
      <c r="Q38" s="4"/>
      <c r="R38" s="13"/>
      <c r="S38" s="4"/>
      <c r="U38" s="4"/>
      <c r="X38" s="17"/>
    </row>
    <row r="39" spans="1:24" ht="15.75">
      <c r="A39" s="10" t="s">
        <v>27</v>
      </c>
      <c r="B39" s="13"/>
      <c r="C39" s="10"/>
      <c r="D39" s="32"/>
      <c r="E39" s="10"/>
      <c r="F39" s="13"/>
      <c r="G39" s="10"/>
      <c r="H39" s="32"/>
      <c r="I39" s="10"/>
      <c r="K39" s="32"/>
      <c r="L39" s="32"/>
      <c r="M39" s="32"/>
      <c r="O39" s="10"/>
      <c r="Q39" s="4"/>
      <c r="R39" s="13"/>
      <c r="S39" s="4"/>
      <c r="U39" s="4"/>
      <c r="X39" s="17"/>
    </row>
    <row r="40" spans="1:24" ht="16.5" thickBot="1">
      <c r="A40" s="4" t="s">
        <v>50</v>
      </c>
      <c r="B40" s="24">
        <v>50000</v>
      </c>
      <c r="C40" s="4"/>
      <c r="D40" s="30">
        <f>28194+1803</f>
        <v>29997</v>
      </c>
      <c r="E40" s="4"/>
      <c r="F40" s="24">
        <f>49000-20000-2000-1000</f>
        <v>26000</v>
      </c>
      <c r="G40" s="4"/>
      <c r="H40" s="30">
        <f>20895+19777+5807</f>
        <v>46479</v>
      </c>
      <c r="I40" s="4"/>
      <c r="J40" s="24">
        <v>49000</v>
      </c>
      <c r="K40" s="41"/>
      <c r="L40" s="24">
        <v>43697</v>
      </c>
      <c r="M40" s="41"/>
      <c r="N40" s="24">
        <v>40000</v>
      </c>
      <c r="O40" s="43"/>
      <c r="P40" s="15">
        <f>5922.56+24166.73+440.74</f>
        <v>30530.030000000002</v>
      </c>
      <c r="Q40" s="4"/>
      <c r="R40" s="20">
        <v>23500</v>
      </c>
      <c r="S40" s="4"/>
      <c r="T40" s="15">
        <v>17436</v>
      </c>
      <c r="U40" s="4"/>
      <c r="V40" s="15">
        <v>17000</v>
      </c>
      <c r="X40" s="17"/>
    </row>
    <row r="41" spans="1:24" ht="15.75">
      <c r="A41" s="4" t="s">
        <v>66</v>
      </c>
      <c r="B41" s="24">
        <v>0</v>
      </c>
      <c r="C41" s="4"/>
      <c r="D41" s="30">
        <v>-8458</v>
      </c>
      <c r="E41" s="4"/>
      <c r="F41" s="24">
        <v>0</v>
      </c>
      <c r="G41" s="4"/>
      <c r="H41" s="30">
        <v>0</v>
      </c>
      <c r="I41" s="4"/>
      <c r="J41" s="24">
        <v>0</v>
      </c>
      <c r="K41" s="41"/>
      <c r="L41" s="24"/>
      <c r="M41" s="41"/>
      <c r="N41" s="24"/>
      <c r="O41" s="43"/>
      <c r="P41" s="42"/>
      <c r="Q41" s="4"/>
      <c r="R41" s="24"/>
      <c r="S41" s="4"/>
      <c r="T41" s="42"/>
      <c r="U41" s="4"/>
      <c r="V41" s="42"/>
      <c r="X41" s="17"/>
    </row>
    <row r="42" spans="1:24" ht="15.75">
      <c r="A42" s="4" t="s">
        <v>73</v>
      </c>
      <c r="B42" s="24">
        <v>4985</v>
      </c>
      <c r="C42" s="4"/>
      <c r="D42" s="30">
        <v>4154</v>
      </c>
      <c r="E42" s="4"/>
      <c r="F42" s="24">
        <v>0</v>
      </c>
      <c r="G42" s="4"/>
      <c r="H42" s="30">
        <v>0</v>
      </c>
      <c r="I42" s="4"/>
      <c r="J42" s="24">
        <v>0</v>
      </c>
      <c r="K42" s="41"/>
      <c r="L42" s="24"/>
      <c r="M42" s="41"/>
      <c r="N42" s="24"/>
      <c r="O42" s="43"/>
      <c r="P42" s="42"/>
      <c r="Q42" s="4"/>
      <c r="R42" s="24"/>
      <c r="S42" s="4"/>
      <c r="T42" s="42"/>
      <c r="U42" s="4"/>
      <c r="V42" s="42"/>
      <c r="X42" s="17"/>
    </row>
    <row r="43" spans="1:24" ht="15.75">
      <c r="A43" s="4" t="s">
        <v>66</v>
      </c>
      <c r="B43" s="24">
        <v>0</v>
      </c>
      <c r="C43" s="4"/>
      <c r="D43" s="30">
        <v>-1495</v>
      </c>
      <c r="E43" s="4"/>
      <c r="F43" s="24">
        <v>0</v>
      </c>
      <c r="G43" s="4"/>
      <c r="H43" s="30">
        <v>0</v>
      </c>
      <c r="I43" s="4"/>
      <c r="J43" s="24">
        <v>0</v>
      </c>
      <c r="K43" s="41"/>
      <c r="L43" s="24"/>
      <c r="M43" s="41"/>
      <c r="N43" s="24"/>
      <c r="O43" s="43"/>
      <c r="P43" s="42"/>
      <c r="Q43" s="4"/>
      <c r="R43" s="24"/>
      <c r="S43" s="4"/>
      <c r="T43" s="42"/>
      <c r="U43" s="4"/>
      <c r="V43" s="42"/>
      <c r="X43" s="17"/>
    </row>
    <row r="44" spans="1:24" ht="16.5" thickBot="1">
      <c r="A44" s="4" t="s">
        <v>53</v>
      </c>
      <c r="B44" s="20">
        <v>3630</v>
      </c>
      <c r="C44" s="4"/>
      <c r="D44" s="33">
        <v>3630</v>
      </c>
      <c r="E44" s="4"/>
      <c r="F44" s="20">
        <v>3630</v>
      </c>
      <c r="G44" s="4"/>
      <c r="H44" s="33">
        <v>3630</v>
      </c>
      <c r="I44" s="4"/>
      <c r="J44" s="20">
        <v>3630</v>
      </c>
      <c r="K44" s="30"/>
      <c r="L44" s="20">
        <v>0</v>
      </c>
      <c r="M44" s="30"/>
      <c r="N44" s="20">
        <v>0</v>
      </c>
      <c r="O44" s="4"/>
      <c r="P44" s="42"/>
      <c r="Q44" s="4"/>
      <c r="R44" s="24"/>
      <c r="S44" s="4"/>
      <c r="T44" s="42"/>
      <c r="U44" s="4"/>
      <c r="V44" s="42"/>
      <c r="X44" s="17"/>
    </row>
    <row r="45" spans="1:24" ht="15.75">
      <c r="A45" s="4"/>
      <c r="B45" s="13">
        <f>SUM(B40:B44)</f>
        <v>58615</v>
      </c>
      <c r="C45" s="4"/>
      <c r="D45" s="30">
        <f>SUM(D40:D44)</f>
        <v>27828</v>
      </c>
      <c r="E45" s="4"/>
      <c r="F45" s="13">
        <f>SUM(F40:F44)</f>
        <v>29630</v>
      </c>
      <c r="G45" s="4"/>
      <c r="H45" s="30">
        <f>SUM(H40:H44)</f>
        <v>50109</v>
      </c>
      <c r="I45" s="4"/>
      <c r="J45" s="13">
        <f>SUM(J40:J44)</f>
        <v>52630</v>
      </c>
      <c r="K45" s="30"/>
      <c r="L45" s="13">
        <f>SUM(L40:L44)</f>
        <v>43697</v>
      </c>
      <c r="M45" s="30"/>
      <c r="N45" s="13">
        <f>SUM(N40:N44)</f>
        <v>40000</v>
      </c>
      <c r="O45" s="4"/>
      <c r="P45" s="3">
        <f>SUM(P39:P40)</f>
        <v>30530.030000000002</v>
      </c>
      <c r="Q45" s="4"/>
      <c r="R45" s="13">
        <f>SUM(R39:R40)</f>
        <v>23500</v>
      </c>
      <c r="S45" s="4"/>
      <c r="T45" s="3">
        <f>SUM(T39:T40)</f>
        <v>17436</v>
      </c>
      <c r="U45" s="4"/>
      <c r="V45" s="3">
        <f>SUM(V39:V40)</f>
        <v>17000</v>
      </c>
      <c r="X45" s="17"/>
    </row>
    <row r="46" spans="1:24" ht="15.75">
      <c r="A46" s="10" t="s">
        <v>28</v>
      </c>
      <c r="B46" s="13"/>
      <c r="C46" s="10"/>
      <c r="D46" s="32"/>
      <c r="E46" s="10"/>
      <c r="F46" s="13"/>
      <c r="G46" s="10"/>
      <c r="H46" s="32"/>
      <c r="I46" s="10"/>
      <c r="K46" s="32"/>
      <c r="L46" s="13"/>
      <c r="M46" s="32"/>
      <c r="O46" s="10"/>
      <c r="Q46" s="4"/>
      <c r="R46" s="13"/>
      <c r="S46" s="4"/>
      <c r="U46" s="4"/>
      <c r="X46" s="17"/>
    </row>
    <row r="47" spans="1:24" ht="15.75">
      <c r="A47" s="4" t="s">
        <v>29</v>
      </c>
      <c r="B47" s="13">
        <v>25000</v>
      </c>
      <c r="C47" s="4"/>
      <c r="D47" s="30">
        <v>14058</v>
      </c>
      <c r="E47" s="4"/>
      <c r="F47" s="13">
        <v>15000</v>
      </c>
      <c r="G47" s="4"/>
      <c r="H47" s="30">
        <v>25891</v>
      </c>
      <c r="I47" s="4"/>
      <c r="J47" s="13">
        <v>24000</v>
      </c>
      <c r="K47" s="30"/>
      <c r="L47" s="13">
        <v>24032.3</v>
      </c>
      <c r="M47" s="30"/>
      <c r="N47" s="13">
        <v>25000</v>
      </c>
      <c r="O47" s="4"/>
      <c r="P47" s="3">
        <v>20061</v>
      </c>
      <c r="Q47" s="4"/>
      <c r="R47" s="13">
        <v>20000</v>
      </c>
      <c r="S47" s="4"/>
      <c r="T47" s="3">
        <v>18364</v>
      </c>
      <c r="U47" s="4"/>
      <c r="V47" s="3">
        <v>16250</v>
      </c>
      <c r="X47" s="17"/>
    </row>
    <row r="48" spans="1:24" ht="15.75">
      <c r="A48" s="4" t="s">
        <v>30</v>
      </c>
      <c r="B48" s="13">
        <v>100</v>
      </c>
      <c r="C48" s="4"/>
      <c r="D48" s="30">
        <v>0</v>
      </c>
      <c r="E48" s="4"/>
      <c r="F48" s="13">
        <v>100</v>
      </c>
      <c r="G48" s="4"/>
      <c r="H48" s="30">
        <v>65</v>
      </c>
      <c r="I48" s="4"/>
      <c r="J48" s="13">
        <v>100</v>
      </c>
      <c r="K48" s="30"/>
      <c r="L48" s="13">
        <v>147.5</v>
      </c>
      <c r="M48" s="30"/>
      <c r="N48" s="13">
        <v>280</v>
      </c>
      <c r="O48" s="4"/>
      <c r="P48" s="3">
        <v>603</v>
      </c>
      <c r="Q48" s="4"/>
      <c r="R48" s="13">
        <v>500</v>
      </c>
      <c r="S48" s="4"/>
      <c r="T48" s="3">
        <v>308</v>
      </c>
      <c r="U48" s="4"/>
      <c r="V48" s="3">
        <v>150</v>
      </c>
      <c r="X48" s="17"/>
    </row>
    <row r="49" spans="1:24" ht="16.5" thickBot="1">
      <c r="A49" s="4" t="s">
        <v>31</v>
      </c>
      <c r="B49" s="20">
        <v>500</v>
      </c>
      <c r="C49" s="4"/>
      <c r="D49" s="33">
        <v>-211</v>
      </c>
      <c r="E49" s="4"/>
      <c r="F49" s="20">
        <v>500</v>
      </c>
      <c r="G49" s="4"/>
      <c r="H49" s="33">
        <v>528</v>
      </c>
      <c r="I49" s="4"/>
      <c r="J49" s="20">
        <v>500</v>
      </c>
      <c r="K49" s="30"/>
      <c r="L49" s="20">
        <v>851.88</v>
      </c>
      <c r="M49" s="30"/>
      <c r="N49" s="20">
        <v>1000</v>
      </c>
      <c r="O49" s="4"/>
      <c r="P49" s="15">
        <v>2157</v>
      </c>
      <c r="Q49" s="4"/>
      <c r="R49" s="20">
        <v>0</v>
      </c>
      <c r="S49" s="4"/>
      <c r="T49" s="15">
        <v>2096</v>
      </c>
      <c r="U49" s="4"/>
      <c r="V49" s="15">
        <v>1250</v>
      </c>
      <c r="X49" s="17"/>
    </row>
    <row r="50" spans="1:26" ht="15.75">
      <c r="A50" s="4"/>
      <c r="B50" s="13">
        <f>SUM(B46:B49)</f>
        <v>25600</v>
      </c>
      <c r="C50" s="4"/>
      <c r="D50" s="30">
        <f>SUM(D47:D49)</f>
        <v>13847</v>
      </c>
      <c r="E50" s="4"/>
      <c r="F50" s="13">
        <f>SUM(F46:F49)</f>
        <v>15600</v>
      </c>
      <c r="G50" s="4"/>
      <c r="H50" s="30">
        <f>SUM(H47:H49)</f>
        <v>26484</v>
      </c>
      <c r="I50" s="4"/>
      <c r="J50" s="13">
        <f>SUM(J46:J49)</f>
        <v>24600</v>
      </c>
      <c r="K50" s="30"/>
      <c r="L50" s="13">
        <f>SUM(L46:L49)</f>
        <v>25031.68</v>
      </c>
      <c r="M50" s="30"/>
      <c r="N50" s="13">
        <f>SUM(N46:N49)</f>
        <v>26280</v>
      </c>
      <c r="O50" s="4"/>
      <c r="P50" s="3">
        <f>SUM(P46:P49)</f>
        <v>22821</v>
      </c>
      <c r="Q50" s="4"/>
      <c r="R50" s="13">
        <f>SUM(R46:R49)</f>
        <v>20500</v>
      </c>
      <c r="S50" s="4"/>
      <c r="T50" s="3">
        <f>SUM(T46:T49)</f>
        <v>20768</v>
      </c>
      <c r="U50" s="4"/>
      <c r="V50" s="3">
        <f>SUM(V46:V49)</f>
        <v>17650</v>
      </c>
      <c r="X50" s="18" t="s">
        <v>13</v>
      </c>
      <c r="Z50" s="1" t="s">
        <v>13</v>
      </c>
    </row>
    <row r="51" spans="1:24" ht="15.75">
      <c r="A51" s="10" t="s">
        <v>32</v>
      </c>
      <c r="B51" s="13"/>
      <c r="C51" s="10"/>
      <c r="D51" s="32"/>
      <c r="E51" s="10"/>
      <c r="F51" s="13"/>
      <c r="G51" s="10"/>
      <c r="H51" s="32"/>
      <c r="I51" s="10"/>
      <c r="K51" s="32"/>
      <c r="L51" s="32"/>
      <c r="M51" s="32"/>
      <c r="O51" s="10"/>
      <c r="Q51" s="4"/>
      <c r="R51" s="13"/>
      <c r="S51" s="4"/>
      <c r="U51" s="4"/>
      <c r="X51" s="17"/>
    </row>
    <row r="52" spans="1:24" ht="15.75">
      <c r="A52" s="4" t="s">
        <v>33</v>
      </c>
      <c r="B52" s="13">
        <v>250</v>
      </c>
      <c r="C52" s="4"/>
      <c r="D52" s="30">
        <v>278</v>
      </c>
      <c r="E52" s="4"/>
      <c r="F52" s="13">
        <v>250</v>
      </c>
      <c r="G52" s="4"/>
      <c r="H52" s="30">
        <v>245</v>
      </c>
      <c r="I52" s="4"/>
      <c r="J52" s="13">
        <v>250</v>
      </c>
      <c r="K52" s="30"/>
      <c r="L52" s="13">
        <f>302.5+189.79</f>
        <v>492.28999999999996</v>
      </c>
      <c r="M52" s="30"/>
      <c r="N52" s="13">
        <v>250</v>
      </c>
      <c r="O52" s="4"/>
      <c r="P52" s="3">
        <v>277</v>
      </c>
      <c r="Q52" s="4"/>
      <c r="R52" s="13">
        <v>225</v>
      </c>
      <c r="S52" s="4"/>
      <c r="T52" s="3">
        <v>224</v>
      </c>
      <c r="U52" s="4"/>
      <c r="V52" s="3">
        <v>200</v>
      </c>
      <c r="X52" s="17"/>
    </row>
    <row r="53" spans="1:24" ht="15.75">
      <c r="A53" s="4" t="s">
        <v>48</v>
      </c>
      <c r="B53" s="13">
        <v>4000</v>
      </c>
      <c r="C53" s="4"/>
      <c r="D53" s="30">
        <v>4539</v>
      </c>
      <c r="E53" s="4"/>
      <c r="F53" s="13">
        <v>4000</v>
      </c>
      <c r="G53" s="4"/>
      <c r="H53" s="30">
        <v>3918</v>
      </c>
      <c r="I53" s="4"/>
      <c r="J53" s="13">
        <v>3500</v>
      </c>
      <c r="K53" s="30"/>
      <c r="L53" s="13">
        <v>2739.75</v>
      </c>
      <c r="M53" s="30"/>
      <c r="N53" s="13">
        <v>3100</v>
      </c>
      <c r="O53" s="4"/>
      <c r="P53" s="3">
        <f>932+332.75+2453.56</f>
        <v>3718.31</v>
      </c>
      <c r="Q53" s="4"/>
      <c r="R53" s="13">
        <v>2500</v>
      </c>
      <c r="S53" s="4"/>
      <c r="T53" s="3">
        <v>1025</v>
      </c>
      <c r="U53" s="4"/>
      <c r="V53" s="3">
        <v>500</v>
      </c>
      <c r="X53" s="17"/>
    </row>
    <row r="54" spans="1:24" ht="16.5" thickBot="1">
      <c r="A54" s="4" t="s">
        <v>49</v>
      </c>
      <c r="B54" s="24">
        <v>365</v>
      </c>
      <c r="C54" s="43"/>
      <c r="D54" s="41">
        <v>467</v>
      </c>
      <c r="E54" s="43"/>
      <c r="F54" s="24">
        <v>250</v>
      </c>
      <c r="G54" s="43"/>
      <c r="H54" s="41">
        <v>474</v>
      </c>
      <c r="I54" s="43"/>
      <c r="J54" s="24">
        <v>250</v>
      </c>
      <c r="K54" s="30"/>
      <c r="L54" s="20">
        <v>1019.31</v>
      </c>
      <c r="M54" s="30"/>
      <c r="N54" s="20">
        <v>0</v>
      </c>
      <c r="O54" s="4"/>
      <c r="P54" s="15">
        <v>1499</v>
      </c>
      <c r="Q54" s="4"/>
      <c r="R54" s="20">
        <v>0</v>
      </c>
      <c r="S54" s="4"/>
      <c r="T54" s="15">
        <v>-3690</v>
      </c>
      <c r="U54" s="4"/>
      <c r="V54" s="15">
        <v>1250</v>
      </c>
      <c r="X54" s="17"/>
    </row>
    <row r="55" spans="1:24" ht="16.5" thickBot="1">
      <c r="A55" s="4" t="s">
        <v>68</v>
      </c>
      <c r="B55" s="20">
        <v>5000</v>
      </c>
      <c r="C55" s="4"/>
      <c r="D55" s="33">
        <v>0</v>
      </c>
      <c r="E55" s="4"/>
      <c r="F55" s="20">
        <v>0</v>
      </c>
      <c r="G55" s="4"/>
      <c r="H55" s="33">
        <v>0</v>
      </c>
      <c r="I55" s="4"/>
      <c r="J55" s="20">
        <v>0</v>
      </c>
      <c r="K55" s="30"/>
      <c r="L55" s="24"/>
      <c r="M55" s="30"/>
      <c r="N55" s="24"/>
      <c r="O55" s="4"/>
      <c r="P55" s="42"/>
      <c r="Q55" s="4"/>
      <c r="R55" s="24"/>
      <c r="S55" s="4"/>
      <c r="T55" s="42"/>
      <c r="U55" s="4"/>
      <c r="V55" s="42"/>
      <c r="X55" s="17"/>
    </row>
    <row r="56" spans="1:26" ht="15.75">
      <c r="A56" s="4"/>
      <c r="B56" s="13">
        <f>SUM(B51:B55)</f>
        <v>9615</v>
      </c>
      <c r="C56" s="4"/>
      <c r="D56" s="30">
        <f>SUM(D52:D55)</f>
        <v>5284</v>
      </c>
      <c r="E56" s="4"/>
      <c r="F56" s="13">
        <f>SUM(F51:F55)</f>
        <v>4500</v>
      </c>
      <c r="G56" s="4"/>
      <c r="H56" s="30">
        <f>SUM(H52:H55)</f>
        <v>4637</v>
      </c>
      <c r="I56" s="4"/>
      <c r="J56" s="13">
        <f>SUM(J51:J55)</f>
        <v>4000</v>
      </c>
      <c r="K56" s="30"/>
      <c r="L56" s="13">
        <f>SUM(L51:L54)</f>
        <v>4251.35</v>
      </c>
      <c r="M56" s="30"/>
      <c r="N56" s="13">
        <f>SUM(N51:N54)</f>
        <v>3350</v>
      </c>
      <c r="O56" s="4"/>
      <c r="P56" s="3">
        <f>SUM(P51:P54)</f>
        <v>5494.3099999999995</v>
      </c>
      <c r="Q56" s="4"/>
      <c r="R56" s="13">
        <f>SUM(R51:R54)</f>
        <v>2725</v>
      </c>
      <c r="S56" s="4"/>
      <c r="T56" s="3">
        <f>SUM(T51:T54)</f>
        <v>-2441</v>
      </c>
      <c r="U56" s="4"/>
      <c r="V56" s="3">
        <f>SUM(V51:V54)</f>
        <v>1950</v>
      </c>
      <c r="X56" s="18" t="s">
        <v>13</v>
      </c>
      <c r="Z56" s="1" t="s">
        <v>13</v>
      </c>
    </row>
    <row r="57" spans="1:24" ht="15.75">
      <c r="A57" s="4"/>
      <c r="B57" s="13"/>
      <c r="C57" s="4"/>
      <c r="D57" s="30"/>
      <c r="E57" s="4"/>
      <c r="F57" s="13"/>
      <c r="G57" s="4"/>
      <c r="H57" s="30"/>
      <c r="I57" s="4"/>
      <c r="K57" s="30"/>
      <c r="L57" s="13"/>
      <c r="M57" s="30"/>
      <c r="O57" s="4"/>
      <c r="Q57" s="4"/>
      <c r="R57" s="13"/>
      <c r="S57" s="4"/>
      <c r="U57" s="4"/>
      <c r="X57" s="18"/>
    </row>
    <row r="58" spans="1:24" ht="15.75">
      <c r="A58" s="10" t="s">
        <v>34</v>
      </c>
      <c r="B58" s="13"/>
      <c r="C58" s="10"/>
      <c r="D58" s="32"/>
      <c r="E58" s="10"/>
      <c r="F58" s="13"/>
      <c r="G58" s="10"/>
      <c r="H58" s="32"/>
      <c r="I58" s="10"/>
      <c r="K58" s="32"/>
      <c r="L58" s="13"/>
      <c r="M58" s="32"/>
      <c r="O58" s="10"/>
      <c r="Q58" s="4"/>
      <c r="R58" s="13"/>
      <c r="S58" s="4"/>
      <c r="U58" s="4"/>
      <c r="X58" s="17"/>
    </row>
    <row r="59" spans="1:24" ht="15.75">
      <c r="A59" s="4" t="s">
        <v>35</v>
      </c>
      <c r="B59" s="13">
        <v>5500</v>
      </c>
      <c r="C59" s="4"/>
      <c r="D59" s="30">
        <v>5242</v>
      </c>
      <c r="E59" s="4"/>
      <c r="F59" s="13">
        <v>5500</v>
      </c>
      <c r="G59" s="4"/>
      <c r="H59" s="30">
        <f>9211-335-589</f>
        <v>8287</v>
      </c>
      <c r="I59" s="4"/>
      <c r="J59" s="13">
        <v>8000</v>
      </c>
      <c r="K59" s="30"/>
      <c r="L59" s="13">
        <v>11756.36</v>
      </c>
      <c r="M59" s="30"/>
      <c r="N59" s="13">
        <v>15000</v>
      </c>
      <c r="O59" s="4"/>
      <c r="P59" s="3">
        <v>13629</v>
      </c>
      <c r="Q59" s="4"/>
      <c r="R59" s="13">
        <v>12000</v>
      </c>
      <c r="S59" s="4"/>
      <c r="T59" s="3">
        <v>11047</v>
      </c>
      <c r="U59" s="4"/>
      <c r="V59" s="3">
        <v>7500</v>
      </c>
      <c r="X59" s="17"/>
    </row>
    <row r="60" spans="1:24" ht="15.75">
      <c r="A60" s="4" t="s">
        <v>47</v>
      </c>
      <c r="B60" s="13">
        <v>2500</v>
      </c>
      <c r="C60" s="4"/>
      <c r="D60" s="30">
        <v>2344</v>
      </c>
      <c r="E60" s="4"/>
      <c r="F60" s="13">
        <v>2500</v>
      </c>
      <c r="G60" s="4"/>
      <c r="H60" s="30">
        <v>3254</v>
      </c>
      <c r="I60" s="4"/>
      <c r="J60" s="13">
        <v>500</v>
      </c>
      <c r="K60" s="30"/>
      <c r="L60" s="13">
        <v>3427.5</v>
      </c>
      <c r="M60" s="30"/>
      <c r="N60" s="13">
        <v>3000</v>
      </c>
      <c r="O60" s="4"/>
      <c r="P60" s="3">
        <v>0</v>
      </c>
      <c r="Q60" s="4"/>
      <c r="R60" s="13">
        <v>0</v>
      </c>
      <c r="S60" s="4"/>
      <c r="T60" s="3">
        <v>0</v>
      </c>
      <c r="U60" s="4"/>
      <c r="V60" s="3">
        <v>0</v>
      </c>
      <c r="X60" s="17"/>
    </row>
    <row r="61" spans="1:24" ht="16.5" thickBot="1">
      <c r="A61" s="4" t="s">
        <v>36</v>
      </c>
      <c r="B61" s="20">
        <v>300</v>
      </c>
      <c r="C61" s="4"/>
      <c r="D61" s="33">
        <v>0</v>
      </c>
      <c r="E61" s="4"/>
      <c r="F61" s="20">
        <v>300</v>
      </c>
      <c r="G61" s="4"/>
      <c r="H61" s="33">
        <v>335</v>
      </c>
      <c r="I61" s="4"/>
      <c r="J61" s="20">
        <v>300</v>
      </c>
      <c r="K61" s="30"/>
      <c r="L61" s="13">
        <v>716.04</v>
      </c>
      <c r="M61" s="30"/>
      <c r="N61" s="13">
        <v>1000</v>
      </c>
      <c r="O61" s="4"/>
      <c r="P61" s="3">
        <v>507</v>
      </c>
      <c r="Q61" s="4"/>
      <c r="R61" s="13">
        <v>1000</v>
      </c>
      <c r="S61" s="4"/>
      <c r="T61" s="3">
        <v>1165</v>
      </c>
      <c r="U61" s="4"/>
      <c r="V61" s="3">
        <v>500</v>
      </c>
      <c r="X61" s="17"/>
    </row>
    <row r="62" spans="1:26" ht="15.75">
      <c r="A62" s="4"/>
      <c r="B62" s="13">
        <f>SUM(B58:B61)</f>
        <v>8300</v>
      </c>
      <c r="C62" s="4"/>
      <c r="D62" s="30">
        <f>SUM(D59:D61)</f>
        <v>7586</v>
      </c>
      <c r="E62" s="4"/>
      <c r="F62" s="13">
        <f>SUM(F58:F61)</f>
        <v>8300</v>
      </c>
      <c r="G62" s="4"/>
      <c r="H62" s="30">
        <f>SUM(H59:H61)</f>
        <v>11876</v>
      </c>
      <c r="I62" s="4"/>
      <c r="J62" s="13">
        <f>SUM(J58:J61)</f>
        <v>8800</v>
      </c>
      <c r="K62" s="30"/>
      <c r="L62" s="13">
        <f>SUM(L58:L61)</f>
        <v>15899.900000000001</v>
      </c>
      <c r="M62" s="30"/>
      <c r="N62" s="13">
        <f>SUM(N58:N61)</f>
        <v>19000</v>
      </c>
      <c r="O62" s="4"/>
      <c r="P62" s="3">
        <f>SUM(P58:P61)</f>
        <v>14136</v>
      </c>
      <c r="Q62" s="4"/>
      <c r="R62" s="13">
        <f>SUM(R58:R61)</f>
        <v>13000</v>
      </c>
      <c r="S62" s="4"/>
      <c r="T62" s="3">
        <f>SUM(T58:T61)</f>
        <v>12212</v>
      </c>
      <c r="U62" s="4"/>
      <c r="V62" s="3">
        <f>SUM(V58:V61)</f>
        <v>8000</v>
      </c>
      <c r="X62" s="18" t="s">
        <v>13</v>
      </c>
      <c r="Z62" s="1" t="s">
        <v>13</v>
      </c>
    </row>
    <row r="63" spans="1:24" ht="15.75">
      <c r="A63" s="4"/>
      <c r="B63" s="13"/>
      <c r="C63" s="4"/>
      <c r="D63" s="30"/>
      <c r="E63" s="4"/>
      <c r="F63" s="13"/>
      <c r="G63" s="4"/>
      <c r="H63" s="30"/>
      <c r="I63" s="4"/>
      <c r="K63" s="30"/>
      <c r="L63" s="13"/>
      <c r="M63" s="30"/>
      <c r="O63" s="4"/>
      <c r="Q63" s="4"/>
      <c r="R63" s="13"/>
      <c r="S63" s="4"/>
      <c r="U63" s="4"/>
      <c r="X63" s="18"/>
    </row>
    <row r="64" spans="1:24" ht="15.75">
      <c r="A64" s="4"/>
      <c r="B64" s="13"/>
      <c r="C64" s="4"/>
      <c r="D64" s="30"/>
      <c r="E64" s="4"/>
      <c r="F64" s="13"/>
      <c r="G64" s="4"/>
      <c r="H64" s="30"/>
      <c r="I64" s="4"/>
      <c r="K64" s="30"/>
      <c r="L64" s="13"/>
      <c r="M64" s="30"/>
      <c r="O64" s="4"/>
      <c r="Q64" s="4"/>
      <c r="R64" s="13"/>
      <c r="S64" s="4"/>
      <c r="U64" s="4"/>
      <c r="X64" s="18"/>
    </row>
    <row r="65" spans="1:24" ht="15.75">
      <c r="A65" s="10" t="s">
        <v>38</v>
      </c>
      <c r="B65" s="13"/>
      <c r="C65" s="10"/>
      <c r="D65" s="32"/>
      <c r="E65" s="10"/>
      <c r="F65" s="13"/>
      <c r="G65" s="10"/>
      <c r="H65" s="32"/>
      <c r="I65" s="10"/>
      <c r="K65" s="32"/>
      <c r="L65" s="13"/>
      <c r="M65" s="32"/>
      <c r="O65" s="10"/>
      <c r="Q65" s="4"/>
      <c r="R65" s="13"/>
      <c r="S65" s="4"/>
      <c r="U65" s="4"/>
      <c r="X65" s="17"/>
    </row>
    <row r="66" spans="1:24" ht="15.75">
      <c r="A66" s="4" t="s">
        <v>39</v>
      </c>
      <c r="B66" s="13">
        <v>5000</v>
      </c>
      <c r="C66" s="4"/>
      <c r="D66" s="30">
        <v>4632</v>
      </c>
      <c r="E66" s="4"/>
      <c r="F66" s="13">
        <v>5000</v>
      </c>
      <c r="G66" s="4"/>
      <c r="H66" s="30">
        <v>4780</v>
      </c>
      <c r="I66" s="4"/>
      <c r="J66" s="13">
        <v>5000</v>
      </c>
      <c r="K66" s="30"/>
      <c r="L66" s="13">
        <v>4859.16</v>
      </c>
      <c r="M66" s="30"/>
      <c r="N66" s="13">
        <v>5250</v>
      </c>
      <c r="O66" s="4"/>
      <c r="P66" s="3">
        <v>4770</v>
      </c>
      <c r="Q66" s="4"/>
      <c r="R66" s="13">
        <v>3000</v>
      </c>
      <c r="S66" s="4"/>
      <c r="T66" s="3">
        <v>6927</v>
      </c>
      <c r="U66" s="4"/>
      <c r="V66" s="3">
        <v>2850</v>
      </c>
      <c r="X66" s="17"/>
    </row>
    <row r="67" spans="1:24" ht="15.75">
      <c r="A67" s="4" t="s">
        <v>3</v>
      </c>
      <c r="B67" s="13">
        <v>1500</v>
      </c>
      <c r="C67" s="4"/>
      <c r="D67" s="30">
        <v>1417</v>
      </c>
      <c r="E67" s="4"/>
      <c r="F67" s="13">
        <v>1500</v>
      </c>
      <c r="G67" s="4"/>
      <c r="H67" s="30">
        <v>1642</v>
      </c>
      <c r="I67" s="4"/>
      <c r="J67" s="13">
        <v>2100</v>
      </c>
      <c r="K67" s="30"/>
      <c r="L67" s="13">
        <v>2511.59</v>
      </c>
      <c r="M67" s="30"/>
      <c r="N67" s="13">
        <v>2500</v>
      </c>
      <c r="O67" s="4"/>
      <c r="P67" s="3">
        <v>1937.58</v>
      </c>
      <c r="Q67" s="4"/>
      <c r="R67" s="13">
        <v>1250</v>
      </c>
      <c r="S67" s="4"/>
      <c r="T67" s="3">
        <v>1384</v>
      </c>
      <c r="U67" s="4"/>
      <c r="V67" s="3">
        <v>900</v>
      </c>
      <c r="X67" s="17"/>
    </row>
    <row r="68" spans="1:24" ht="15.75">
      <c r="A68" s="4" t="s">
        <v>43</v>
      </c>
      <c r="B68" s="13">
        <v>100</v>
      </c>
      <c r="C68" s="4"/>
      <c r="D68" s="30">
        <f>293-212-5</f>
        <v>76</v>
      </c>
      <c r="E68" s="4"/>
      <c r="F68" s="13">
        <v>100</v>
      </c>
      <c r="G68" s="4"/>
      <c r="H68" s="30">
        <f>578-420</f>
        <v>158</v>
      </c>
      <c r="I68" s="4"/>
      <c r="J68" s="13">
        <v>100</v>
      </c>
      <c r="K68" s="30"/>
      <c r="L68" s="13">
        <f>-22.67-986.84</f>
        <v>-1009.51</v>
      </c>
      <c r="M68" s="30"/>
      <c r="N68" s="13">
        <v>-980</v>
      </c>
      <c r="O68" s="4"/>
      <c r="P68" s="3">
        <v>-1328</v>
      </c>
      <c r="Q68" s="4"/>
      <c r="R68" s="13">
        <v>-1325</v>
      </c>
      <c r="S68" s="4"/>
      <c r="T68" s="3">
        <v>-1488</v>
      </c>
      <c r="U68" s="4"/>
      <c r="V68" s="3">
        <v>0</v>
      </c>
      <c r="X68" s="17"/>
    </row>
    <row r="69" spans="1:24" ht="15.75">
      <c r="A69" s="4" t="s">
        <v>63</v>
      </c>
      <c r="B69" s="13">
        <v>0</v>
      </c>
      <c r="C69" s="4"/>
      <c r="D69" s="30">
        <v>0</v>
      </c>
      <c r="E69" s="4"/>
      <c r="F69" s="13">
        <v>0</v>
      </c>
      <c r="G69" s="4"/>
      <c r="H69" s="30">
        <v>42155</v>
      </c>
      <c r="I69" s="4"/>
      <c r="J69" s="13">
        <v>0</v>
      </c>
      <c r="K69" s="30"/>
      <c r="L69" s="13"/>
      <c r="M69" s="30"/>
      <c r="O69" s="4"/>
      <c r="Q69" s="4"/>
      <c r="R69" s="13"/>
      <c r="S69" s="4"/>
      <c r="U69" s="4"/>
      <c r="X69" s="17"/>
    </row>
    <row r="70" spans="1:24" ht="16.5" thickBot="1">
      <c r="A70" s="4" t="s">
        <v>20</v>
      </c>
      <c r="B70" s="20">
        <v>270</v>
      </c>
      <c r="C70" s="4"/>
      <c r="D70" s="33">
        <v>364</v>
      </c>
      <c r="E70" s="4"/>
      <c r="F70" s="20">
        <v>270</v>
      </c>
      <c r="G70" s="4"/>
      <c r="H70" s="33">
        <v>589</v>
      </c>
      <c r="I70" s="4"/>
      <c r="J70" s="20">
        <v>270</v>
      </c>
      <c r="K70" s="30"/>
      <c r="L70" s="20">
        <v>223.85</v>
      </c>
      <c r="M70" s="30"/>
      <c r="N70" s="20">
        <v>100</v>
      </c>
      <c r="O70" s="4"/>
      <c r="P70" s="15">
        <f>206-2131.9</f>
        <v>-1925.9</v>
      </c>
      <c r="Q70" s="4"/>
      <c r="R70" s="20">
        <v>200</v>
      </c>
      <c r="S70" s="4"/>
      <c r="T70" s="15">
        <v>1355</v>
      </c>
      <c r="U70" s="4"/>
      <c r="V70" s="15">
        <v>100</v>
      </c>
      <c r="X70" s="17"/>
    </row>
    <row r="71" spans="1:26" ht="15.75">
      <c r="A71" s="4"/>
      <c r="B71" s="13">
        <f>SUM(B65:B70)</f>
        <v>6870</v>
      </c>
      <c r="C71" s="4"/>
      <c r="D71" s="30">
        <f>SUM(D66:D70)</f>
        <v>6489</v>
      </c>
      <c r="E71" s="4"/>
      <c r="F71" s="13">
        <f>SUM(F65:F70)</f>
        <v>6870</v>
      </c>
      <c r="G71" s="4"/>
      <c r="H71" s="30">
        <f>SUM(H66:H70)</f>
        <v>49324</v>
      </c>
      <c r="I71" s="4"/>
      <c r="J71" s="13">
        <f>SUM(J65:J70)</f>
        <v>7470</v>
      </c>
      <c r="K71" s="30"/>
      <c r="L71" s="13">
        <f>SUM(L65:L70)</f>
        <v>6585.09</v>
      </c>
      <c r="M71" s="30"/>
      <c r="N71" s="13">
        <f>SUM(N65:N70)</f>
        <v>6870</v>
      </c>
      <c r="O71" s="4"/>
      <c r="P71" s="3">
        <f>SUM(P65:P70)</f>
        <v>3453.68</v>
      </c>
      <c r="Q71" s="4"/>
      <c r="R71" s="13">
        <f>SUM(R65:R70)</f>
        <v>3125</v>
      </c>
      <c r="S71" s="4"/>
      <c r="T71" s="3">
        <f>SUM(T65:T70)</f>
        <v>8178</v>
      </c>
      <c r="U71" s="4"/>
      <c r="V71" s="3">
        <f>SUM(V65:V70)</f>
        <v>3850</v>
      </c>
      <c r="X71" s="18" t="s">
        <v>13</v>
      </c>
      <c r="Z71" s="1" t="s">
        <v>13</v>
      </c>
    </row>
    <row r="72" spans="1:25" ht="15.75">
      <c r="A72" s="4"/>
      <c r="B72" s="13"/>
      <c r="C72" s="4"/>
      <c r="D72" s="30"/>
      <c r="E72" s="4"/>
      <c r="F72" s="13"/>
      <c r="G72" s="4"/>
      <c r="H72" s="30"/>
      <c r="I72" s="4"/>
      <c r="K72" s="30"/>
      <c r="L72" s="13"/>
      <c r="M72" s="30"/>
      <c r="O72" s="4"/>
      <c r="Q72" s="4"/>
      <c r="R72" s="13"/>
      <c r="S72" s="4"/>
      <c r="U72" s="4"/>
      <c r="X72" s="17"/>
      <c r="Y72" s="1" t="s">
        <v>13</v>
      </c>
    </row>
    <row r="73" spans="1:24" ht="15.75">
      <c r="A73" s="10" t="s">
        <v>12</v>
      </c>
      <c r="B73" s="25">
        <f>B16+B20+B30+B45+B50+B56+B62+B71+B38</f>
        <v>289500</v>
      </c>
      <c r="C73" s="10"/>
      <c r="D73" s="25">
        <f>D16+D20+D30+D45+D50+D56+D62+D71+D38</f>
        <v>222642</v>
      </c>
      <c r="E73" s="10"/>
      <c r="F73" s="25">
        <f>F16+F20+F30+F45+F50+F56+F62+F71+F38</f>
        <v>223500</v>
      </c>
      <c r="G73" s="10"/>
      <c r="H73" s="25">
        <f>H16+H20+H30+H45+H50+H56+H62+H71+H38</f>
        <v>311390</v>
      </c>
      <c r="I73" s="10"/>
      <c r="J73" s="25">
        <f>J16+J20+J30+J45+J50+J56+J62+J71+J38</f>
        <v>306500</v>
      </c>
      <c r="K73" s="32"/>
      <c r="L73" s="25">
        <f>L16+L20+L30+L45+L50+L56+L62+L71</f>
        <v>296751.73000000004</v>
      </c>
      <c r="M73" s="32"/>
      <c r="N73" s="25">
        <f>N16+N20+N30+N45+N50+N56+N62+N71</f>
        <v>288000</v>
      </c>
      <c r="O73" s="4"/>
      <c r="P73" s="25">
        <f>P16+P20+P30+P45+P50+P56+P62+P71</f>
        <v>252181.02</v>
      </c>
      <c r="Q73" s="4"/>
      <c r="R73" s="25">
        <f>R16+R20+R30+R45+R50+R56+R62+R71</f>
        <v>224980</v>
      </c>
      <c r="S73" s="4"/>
      <c r="T73" s="25">
        <f>T16+T20+T30+T45+T50+T56+T62+T71</f>
        <v>232284</v>
      </c>
      <c r="U73" s="4"/>
      <c r="V73" s="25">
        <f>V16+V20+V30+V45+V50+V56+V62+V71</f>
        <v>204030</v>
      </c>
      <c r="X73" s="17"/>
    </row>
    <row r="74" spans="2:24" ht="15.75">
      <c r="B74" s="13"/>
      <c r="D74" s="38"/>
      <c r="F74" s="13"/>
      <c r="K74" s="38"/>
      <c r="L74" s="13"/>
      <c r="M74" s="38"/>
      <c r="O74" s="4"/>
      <c r="Q74" s="4"/>
      <c r="R74" s="13"/>
      <c r="S74" s="4"/>
      <c r="U74" s="4"/>
      <c r="X74" s="17"/>
    </row>
    <row r="75" spans="1:24" ht="16.5" thickBot="1">
      <c r="A75" s="10" t="s">
        <v>40</v>
      </c>
      <c r="B75" s="28">
        <f>SUM(B13-B73)</f>
        <v>0</v>
      </c>
      <c r="C75" s="10"/>
      <c r="D75" s="28">
        <f>SUM(D13-D73)</f>
        <v>8073</v>
      </c>
      <c r="E75" s="10"/>
      <c r="F75" s="28">
        <f>SUM(F13-F73)</f>
        <v>0</v>
      </c>
      <c r="G75" s="10"/>
      <c r="H75" s="28">
        <f>SUM(H13-H73)</f>
        <v>-29775</v>
      </c>
      <c r="I75" s="10"/>
      <c r="J75" s="28">
        <f>SUM(J13-J73)</f>
        <v>0</v>
      </c>
      <c r="K75" s="32"/>
      <c r="L75" s="28">
        <f>SUM(L13-L73)</f>
        <v>11409.51999999996</v>
      </c>
      <c r="M75" s="32"/>
      <c r="N75" s="28">
        <f>SUM(N13-N73)</f>
        <v>3000</v>
      </c>
      <c r="O75" s="4"/>
      <c r="P75" s="29">
        <f>SUM(P13-P73)</f>
        <v>2824.180000000022</v>
      </c>
      <c r="Q75" s="4"/>
      <c r="R75" s="28">
        <f>SUM(R13-R73)</f>
        <v>-4530</v>
      </c>
      <c r="S75" s="4"/>
      <c r="T75" s="29">
        <f>SUM(T13-T73)</f>
        <v>8314</v>
      </c>
      <c r="U75" s="4"/>
      <c r="V75" s="29">
        <f>SUM(V13-V73)</f>
        <v>3570</v>
      </c>
      <c r="X75" s="17"/>
    </row>
    <row r="76" spans="11:24" ht="16.5" thickTop="1">
      <c r="K76" s="4"/>
      <c r="L76" s="30"/>
      <c r="M76" s="4"/>
      <c r="Q76" s="4"/>
      <c r="S76" s="4"/>
      <c r="T76" s="13"/>
      <c r="U76" s="4"/>
      <c r="X76" s="17"/>
    </row>
    <row r="77" spans="1:24" ht="15.75">
      <c r="A77" s="4"/>
      <c r="B77" s="4"/>
      <c r="C77" s="4"/>
      <c r="D77" s="4"/>
      <c r="E77" s="4"/>
      <c r="F77" s="4"/>
      <c r="G77" s="4"/>
      <c r="H77" s="30"/>
      <c r="I77" s="4"/>
      <c r="K77" s="4"/>
      <c r="L77" s="30"/>
      <c r="M77" s="4"/>
      <c r="X77" s="17"/>
    </row>
    <row r="78" ht="15.75">
      <c r="X78" s="17"/>
    </row>
    <row r="79" ht="15.75">
      <c r="X79" s="17"/>
    </row>
    <row r="80" spans="8:24" ht="15.75">
      <c r="H80" s="1"/>
      <c r="J80" s="1"/>
      <c r="L80" s="1"/>
      <c r="N80" s="1"/>
      <c r="O80" s="1"/>
      <c r="P80" s="1"/>
      <c r="R80" s="1"/>
      <c r="T80" s="1"/>
      <c r="V80" s="1"/>
      <c r="X80" s="17" t="s">
        <v>13</v>
      </c>
    </row>
    <row r="81" spans="8:24" ht="15.75">
      <c r="H81" s="1"/>
      <c r="J81" s="1"/>
      <c r="L81" s="1"/>
      <c r="N81" s="1"/>
      <c r="O81" s="1"/>
      <c r="P81" s="1"/>
      <c r="R81" s="1"/>
      <c r="T81" s="1"/>
      <c r="V81" s="1"/>
      <c r="X81" s="17"/>
    </row>
  </sheetData>
  <sheetProtection/>
  <mergeCells count="1">
    <mergeCell ref="A1:V1"/>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A66"/>
  <sheetViews>
    <sheetView zoomScale="150" zoomScaleNormal="150" workbookViewId="0" topLeftCell="A39">
      <selection activeCell="F7" sqref="F7"/>
    </sheetView>
  </sheetViews>
  <sheetFormatPr defaultColWidth="9.00390625" defaultRowHeight="14.25"/>
  <cols>
    <col min="1" max="1" width="27.625" style="1" bestFit="1" customWidth="1"/>
    <col min="2" max="2" width="12.50390625" style="1" customWidth="1"/>
    <col min="3" max="3" width="1.4921875" style="1" customWidth="1"/>
    <col min="4" max="4" width="12.50390625" style="1" customWidth="1"/>
    <col min="5" max="5" width="1.4921875" style="1" customWidth="1"/>
    <col min="6" max="6" width="12.50390625" style="1" customWidth="1"/>
    <col min="7" max="7" width="1.4921875" style="1" customWidth="1"/>
    <col min="8" max="8" width="12.50390625" style="38" customWidth="1"/>
    <col min="9" max="9" width="1.4921875" style="1" customWidth="1"/>
    <col min="10" max="10" width="12.50390625" style="13" bestFit="1" customWidth="1"/>
    <col min="11" max="11" width="1.4921875" style="1" hidden="1" customWidth="1"/>
    <col min="12" max="12" width="10.875" style="38" hidden="1" customWidth="1"/>
    <col min="13" max="13" width="1.4921875" style="1" hidden="1" customWidth="1"/>
    <col min="14" max="14" width="12.50390625" style="13" hidden="1" customWidth="1"/>
    <col min="15" max="15" width="1.4921875" style="13" hidden="1" customWidth="1"/>
    <col min="16" max="16" width="11.625" style="3" hidden="1" customWidth="1"/>
    <col min="17" max="17" width="1.4921875" style="1" hidden="1" customWidth="1"/>
    <col min="18" max="18" width="12.50390625" style="3" hidden="1" customWidth="1"/>
    <col min="19" max="19" width="1.4921875" style="1" hidden="1" customWidth="1"/>
    <col min="20" max="20" width="11.625" style="3" hidden="1" customWidth="1"/>
    <col min="21" max="21" width="1.4921875" style="1" hidden="1" customWidth="1"/>
    <col min="22" max="22" width="12.50390625" style="3" hidden="1" customWidth="1"/>
    <col min="23" max="23" width="9.00390625" style="1" customWidth="1"/>
    <col min="24" max="24" width="10.50390625" style="1" bestFit="1" customWidth="1"/>
    <col min="25" max="16384" width="9.00390625" style="1" customWidth="1"/>
  </cols>
  <sheetData>
    <row r="1" spans="1:22" ht="15.75">
      <c r="A1" s="46" t="s">
        <v>60</v>
      </c>
      <c r="B1" s="46"/>
      <c r="C1" s="46"/>
      <c r="D1" s="46"/>
      <c r="E1" s="46"/>
      <c r="F1" s="46"/>
      <c r="G1" s="46"/>
      <c r="H1" s="46"/>
      <c r="I1" s="46"/>
      <c r="J1" s="47"/>
      <c r="K1" s="47"/>
      <c r="L1" s="47"/>
      <c r="M1" s="47"/>
      <c r="N1" s="47"/>
      <c r="O1" s="47"/>
      <c r="P1" s="47"/>
      <c r="Q1" s="47"/>
      <c r="R1" s="47"/>
      <c r="S1" s="47"/>
      <c r="T1" s="47"/>
      <c r="U1" s="47"/>
      <c r="V1" s="47"/>
    </row>
    <row r="2" spans="1:13" ht="15.75">
      <c r="A2" s="2"/>
      <c r="B2" s="2"/>
      <c r="C2" s="2"/>
      <c r="D2" s="2"/>
      <c r="E2" s="2"/>
      <c r="F2" s="2"/>
      <c r="G2" s="2"/>
      <c r="H2" s="34"/>
      <c r="I2" s="2"/>
      <c r="K2" s="2"/>
      <c r="L2" s="34"/>
      <c r="M2" s="2"/>
    </row>
    <row r="3" spans="1:22" ht="15.75">
      <c r="A3" s="4"/>
      <c r="B3" s="21" t="s">
        <v>4</v>
      </c>
      <c r="C3" s="44"/>
      <c r="D3" s="44" t="s">
        <v>5</v>
      </c>
      <c r="E3" s="44"/>
      <c r="F3" s="21" t="s">
        <v>4</v>
      </c>
      <c r="G3" s="44"/>
      <c r="H3" s="44" t="s">
        <v>5</v>
      </c>
      <c r="I3" s="44"/>
      <c r="J3" s="21" t="s">
        <v>4</v>
      </c>
      <c r="K3" s="4"/>
      <c r="L3" s="30" t="s">
        <v>5</v>
      </c>
      <c r="M3" s="30"/>
      <c r="N3" s="21" t="s">
        <v>4</v>
      </c>
      <c r="O3" s="4"/>
      <c r="P3" s="5" t="s">
        <v>5</v>
      </c>
      <c r="Q3" s="4"/>
      <c r="R3" s="21" t="s">
        <v>4</v>
      </c>
      <c r="S3" s="4"/>
      <c r="T3" s="5" t="s">
        <v>5</v>
      </c>
      <c r="U3" s="4"/>
      <c r="V3" s="5" t="s">
        <v>4</v>
      </c>
    </row>
    <row r="4" spans="1:22" ht="15.75">
      <c r="A4" s="4"/>
      <c r="B4" s="26" t="s">
        <v>61</v>
      </c>
      <c r="C4" s="44"/>
      <c r="D4" s="44" t="s">
        <v>58</v>
      </c>
      <c r="E4" s="44"/>
      <c r="F4" s="26" t="s">
        <v>58</v>
      </c>
      <c r="G4" s="44"/>
      <c r="H4" s="44" t="s">
        <v>55</v>
      </c>
      <c r="I4" s="44"/>
      <c r="J4" s="26" t="s">
        <v>55</v>
      </c>
      <c r="K4" s="4"/>
      <c r="L4" s="40" t="s">
        <v>46</v>
      </c>
      <c r="M4" s="26"/>
      <c r="N4" s="26" t="s">
        <v>46</v>
      </c>
      <c r="O4" s="4"/>
      <c r="P4" s="6" t="s">
        <v>14</v>
      </c>
      <c r="Q4" s="4"/>
      <c r="R4" s="26" t="s">
        <v>14</v>
      </c>
      <c r="S4" s="7"/>
      <c r="T4" s="6" t="s">
        <v>15</v>
      </c>
      <c r="U4" s="7"/>
      <c r="V4" s="6" t="s">
        <v>15</v>
      </c>
    </row>
    <row r="5" spans="1:22" ht="15.75">
      <c r="A5" s="4"/>
      <c r="B5" s="27" t="s">
        <v>6</v>
      </c>
      <c r="C5" s="27"/>
      <c r="D5" s="27" t="s">
        <v>6</v>
      </c>
      <c r="E5" s="27"/>
      <c r="F5" s="27" t="s">
        <v>6</v>
      </c>
      <c r="G5" s="27"/>
      <c r="H5" s="27" t="s">
        <v>6</v>
      </c>
      <c r="I5" s="27"/>
      <c r="J5" s="27" t="s">
        <v>6</v>
      </c>
      <c r="K5" s="4"/>
      <c r="L5" s="36" t="s">
        <v>6</v>
      </c>
      <c r="M5" s="36"/>
      <c r="N5" s="27" t="s">
        <v>6</v>
      </c>
      <c r="O5" s="4"/>
      <c r="P5" s="8" t="s">
        <v>6</v>
      </c>
      <c r="Q5" s="4"/>
      <c r="R5" s="27" t="s">
        <v>6</v>
      </c>
      <c r="S5" s="7"/>
      <c r="T5" s="8" t="s">
        <v>6</v>
      </c>
      <c r="U5" s="7"/>
      <c r="V5" s="8" t="s">
        <v>6</v>
      </c>
    </row>
    <row r="6" spans="1:24" ht="15.75">
      <c r="A6" s="10" t="s">
        <v>7</v>
      </c>
      <c r="B6" s="10"/>
      <c r="C6" s="10"/>
      <c r="D6" s="10"/>
      <c r="E6" s="10"/>
      <c r="F6" s="10"/>
      <c r="G6" s="10"/>
      <c r="H6" s="10"/>
      <c r="I6" s="10"/>
      <c r="J6" s="10"/>
      <c r="K6" s="10"/>
      <c r="L6" s="32"/>
      <c r="M6" s="10"/>
      <c r="N6" s="23"/>
      <c r="O6" s="4"/>
      <c r="P6" s="9"/>
      <c r="Q6" s="4"/>
      <c r="R6" s="23"/>
      <c r="S6" s="7"/>
      <c r="T6" s="9"/>
      <c r="U6" s="7"/>
      <c r="V6" s="9"/>
      <c r="X6" s="16"/>
    </row>
    <row r="7" spans="1:24" ht="15.75">
      <c r="A7" s="4" t="s">
        <v>8</v>
      </c>
      <c r="B7" s="13">
        <f>FLOOR(D7*1.04,1000)-17000-25000</f>
        <v>175000</v>
      </c>
      <c r="C7" s="4"/>
      <c r="D7" s="30">
        <v>209052</v>
      </c>
      <c r="E7" s="4"/>
      <c r="F7" s="13">
        <f>FLOOR(H7*1.05,1000)-10000-5000</f>
        <v>192000</v>
      </c>
      <c r="G7" s="4"/>
      <c r="H7" s="30">
        <f>197161.2+200</f>
        <v>197361.2</v>
      </c>
      <c r="I7" s="4"/>
      <c r="J7" s="13">
        <f>FLOOR(L7*1.05,1000)+1000</f>
        <v>192000</v>
      </c>
      <c r="K7" s="30"/>
      <c r="L7" s="30">
        <v>182776.25</v>
      </c>
      <c r="M7" s="30"/>
      <c r="N7" s="13">
        <f>(142000*1.09)+20220</f>
        <v>175000</v>
      </c>
      <c r="O7" s="4"/>
      <c r="P7" s="3">
        <v>148920</v>
      </c>
      <c r="Q7" s="4"/>
      <c r="R7" s="13">
        <v>130000</v>
      </c>
      <c r="S7" s="4"/>
      <c r="T7" s="3">
        <v>146869</v>
      </c>
      <c r="U7" s="4"/>
      <c r="V7" s="3">
        <v>123000</v>
      </c>
      <c r="X7" s="17" t="s">
        <v>13</v>
      </c>
    </row>
    <row r="8" spans="1:24" ht="15.75">
      <c r="A8" s="4" t="s">
        <v>16</v>
      </c>
      <c r="B8" s="13">
        <v>26500</v>
      </c>
      <c r="C8" s="4"/>
      <c r="D8" s="30">
        <v>26537</v>
      </c>
      <c r="E8" s="4"/>
      <c r="F8" s="13">
        <v>28000</v>
      </c>
      <c r="G8" s="4"/>
      <c r="H8" s="30">
        <f>34315.35</f>
        <v>34315.35</v>
      </c>
      <c r="I8" s="4"/>
      <c r="J8" s="13">
        <v>33000</v>
      </c>
      <c r="K8" s="30"/>
      <c r="L8" s="30">
        <v>40540</v>
      </c>
      <c r="M8" s="30"/>
      <c r="N8" s="13">
        <v>37000</v>
      </c>
      <c r="O8" s="4"/>
      <c r="P8" s="3">
        <f>34704.2+627.5+227.5</f>
        <v>35559.2</v>
      </c>
      <c r="Q8" s="4"/>
      <c r="R8" s="13">
        <v>30000</v>
      </c>
      <c r="S8" s="4"/>
      <c r="T8" s="3">
        <v>27602</v>
      </c>
      <c r="U8" s="4"/>
      <c r="V8" s="3">
        <v>23000</v>
      </c>
      <c r="X8" s="18" t="s">
        <v>13</v>
      </c>
    </row>
    <row r="9" spans="1:24" ht="15.75">
      <c r="A9" s="14" t="s">
        <v>41</v>
      </c>
      <c r="B9" s="13">
        <v>17000</v>
      </c>
      <c r="C9" s="14"/>
      <c r="D9" s="39">
        <v>44111</v>
      </c>
      <c r="E9" s="14"/>
      <c r="F9" s="13">
        <f>72500+5000</f>
        <v>77500</v>
      </c>
      <c r="G9" s="14"/>
      <c r="H9" s="39">
        <f>789+228.58+6277.99+19059.35+29619.93+10357.83+2935.75+1853.19+11735.39+483.18</f>
        <v>83340.18999999999</v>
      </c>
      <c r="I9" s="14"/>
      <c r="J9" s="13">
        <f>72500+5000</f>
        <v>77500</v>
      </c>
      <c r="K9" s="39"/>
      <c r="L9" s="39">
        <v>73356</v>
      </c>
      <c r="M9" s="39"/>
      <c r="N9" s="13">
        <v>70000</v>
      </c>
      <c r="O9" s="4"/>
      <c r="P9" s="3">
        <v>62469</v>
      </c>
      <c r="Q9" s="4"/>
      <c r="R9" s="13">
        <v>54450</v>
      </c>
      <c r="S9" s="4"/>
      <c r="T9" s="3">
        <v>57803</v>
      </c>
      <c r="U9" s="4"/>
      <c r="V9" s="3">
        <v>53900</v>
      </c>
      <c r="X9" s="17"/>
    </row>
    <row r="10" spans="1:26" ht="15.75">
      <c r="A10" s="4" t="s">
        <v>56</v>
      </c>
      <c r="B10" s="13">
        <v>5000</v>
      </c>
      <c r="C10" s="4"/>
      <c r="D10" s="30">
        <v>1915</v>
      </c>
      <c r="E10" s="4"/>
      <c r="F10" s="13">
        <v>7500</v>
      </c>
      <c r="G10" s="4"/>
      <c r="H10" s="30">
        <f>6110.1+1781.64</f>
        <v>7891.740000000001</v>
      </c>
      <c r="I10" s="4"/>
      <c r="J10" s="13">
        <f>8000</f>
        <v>8000</v>
      </c>
      <c r="K10" s="30"/>
      <c r="L10" s="30">
        <v>9893</v>
      </c>
      <c r="M10" s="30"/>
      <c r="N10" s="13">
        <v>7000</v>
      </c>
      <c r="O10" s="4"/>
      <c r="P10" s="3">
        <v>7307</v>
      </c>
      <c r="Q10" s="4"/>
      <c r="R10" s="13">
        <v>6000</v>
      </c>
      <c r="S10" s="4"/>
      <c r="T10" s="3">
        <f>4466+2791+967</f>
        <v>8224</v>
      </c>
      <c r="U10" s="4"/>
      <c r="V10" s="3">
        <v>7700</v>
      </c>
      <c r="X10" s="17" t="s">
        <v>13</v>
      </c>
      <c r="Z10" s="19" t="s">
        <v>13</v>
      </c>
    </row>
    <row r="11" spans="1:24" ht="16.5" thickBot="1">
      <c r="A11" s="4" t="s">
        <v>18</v>
      </c>
      <c r="B11" s="20">
        <v>0</v>
      </c>
      <c r="C11" s="4"/>
      <c r="D11" s="33">
        <v>0</v>
      </c>
      <c r="E11" s="4"/>
      <c r="F11" s="20">
        <v>1500</v>
      </c>
      <c r="G11" s="4"/>
      <c r="H11" s="33">
        <f>732.5+345.77</f>
        <v>1078.27</v>
      </c>
      <c r="I11" s="4"/>
      <c r="J11" s="20">
        <v>1500</v>
      </c>
      <c r="K11" s="30"/>
      <c r="L11" s="33">
        <v>1596</v>
      </c>
      <c r="M11" s="33"/>
      <c r="N11" s="20">
        <v>2000</v>
      </c>
      <c r="O11" s="4"/>
      <c r="P11" s="15">
        <v>750</v>
      </c>
      <c r="Q11" s="4"/>
      <c r="R11" s="20">
        <v>0</v>
      </c>
      <c r="S11" s="4"/>
      <c r="T11" s="15">
        <v>100</v>
      </c>
      <c r="U11" s="4"/>
      <c r="V11" s="15">
        <v>0</v>
      </c>
      <c r="X11" s="17"/>
    </row>
    <row r="12" spans="1:26" ht="15.75">
      <c r="A12" s="4"/>
      <c r="B12" s="13">
        <f>SUM(B7:B11)</f>
        <v>223500</v>
      </c>
      <c r="C12" s="4"/>
      <c r="D12" s="37">
        <f>SUM(D7:D11)</f>
        <v>281615</v>
      </c>
      <c r="E12" s="4"/>
      <c r="F12" s="13">
        <f>SUM(F7:F11)</f>
        <v>306500</v>
      </c>
      <c r="G12" s="4"/>
      <c r="H12" s="37">
        <f>SUM(H7:H11)</f>
        <v>323986.75</v>
      </c>
      <c r="I12" s="4"/>
      <c r="J12" s="13">
        <f>SUM(J7:J11)</f>
        <v>312000</v>
      </c>
      <c r="K12" s="30"/>
      <c r="L12" s="30">
        <f>SUM(L7:L11)</f>
        <v>308161.25</v>
      </c>
      <c r="M12" s="30"/>
      <c r="N12" s="13">
        <f>SUM(N7:N11)</f>
        <v>291000</v>
      </c>
      <c r="O12" s="4"/>
      <c r="P12" s="3">
        <f>SUM(P7:P11)</f>
        <v>255005.2</v>
      </c>
      <c r="Q12" s="4"/>
      <c r="R12" s="13">
        <f>SUM(R7:R11)</f>
        <v>220450</v>
      </c>
      <c r="S12" s="4"/>
      <c r="T12" s="3">
        <f>SUM(T7:T11)</f>
        <v>240598</v>
      </c>
      <c r="U12" s="4"/>
      <c r="V12" s="3">
        <f>SUM(V7:V11)</f>
        <v>207600</v>
      </c>
      <c r="X12" s="17"/>
      <c r="Z12" s="3"/>
    </row>
    <row r="13" spans="1:24" ht="15.75">
      <c r="A13" s="10" t="s">
        <v>9</v>
      </c>
      <c r="B13" s="13"/>
      <c r="C13" s="10"/>
      <c r="D13" s="32"/>
      <c r="E13" s="10"/>
      <c r="F13" s="13"/>
      <c r="G13" s="10"/>
      <c r="H13" s="32"/>
      <c r="I13" s="10"/>
      <c r="K13" s="32"/>
      <c r="L13" s="32"/>
      <c r="M13" s="32"/>
      <c r="O13" s="12"/>
      <c r="Q13" s="4"/>
      <c r="R13" s="13"/>
      <c r="S13" s="4"/>
      <c r="U13" s="4"/>
      <c r="X13" s="17"/>
    </row>
    <row r="14" spans="1:24" ht="16.5" thickBot="1">
      <c r="A14" s="4" t="s">
        <v>42</v>
      </c>
      <c r="B14" s="20">
        <f>CEILING(B9/1.37,1000)-1000</f>
        <v>12000</v>
      </c>
      <c r="C14" s="4"/>
      <c r="D14" s="33">
        <v>24382</v>
      </c>
      <c r="E14" s="4"/>
      <c r="F14" s="20">
        <f>CEILING(F9/1.37,1000)-3500</f>
        <v>53500</v>
      </c>
      <c r="G14" s="4"/>
      <c r="H14" s="33">
        <f>506.55+3795.08+65+43+5875.97+299.2+6460.15+16537.09+4891.92+1788.99+1425.55+7266.24+6335.58-9.22</f>
        <v>55281.1</v>
      </c>
      <c r="I14" s="4"/>
      <c r="J14" s="20">
        <f>CEILING(J9/1.37,1000)-1500</f>
        <v>55500</v>
      </c>
      <c r="K14" s="30"/>
      <c r="L14" s="33">
        <v>53993</v>
      </c>
      <c r="M14" s="30"/>
      <c r="N14" s="20">
        <v>51000</v>
      </c>
      <c r="O14" s="4"/>
      <c r="P14" s="15">
        <v>43882</v>
      </c>
      <c r="Q14" s="4"/>
      <c r="R14" s="20">
        <v>38000</v>
      </c>
      <c r="S14" s="4"/>
      <c r="T14" s="15">
        <v>48500</v>
      </c>
      <c r="U14" s="11"/>
      <c r="V14" s="15">
        <v>36800</v>
      </c>
      <c r="X14" s="17" t="s">
        <v>13</v>
      </c>
    </row>
    <row r="15" spans="1:24" ht="15.75">
      <c r="A15" s="4"/>
      <c r="B15" s="13">
        <f>SUM(B14:B14)</f>
        <v>12000</v>
      </c>
      <c r="C15" s="4"/>
      <c r="D15" s="37">
        <f>SUM(D14:D14)</f>
        <v>24382</v>
      </c>
      <c r="E15" s="4"/>
      <c r="F15" s="13">
        <f>SUM(F14:F14)</f>
        <v>53500</v>
      </c>
      <c r="G15" s="4"/>
      <c r="H15" s="37">
        <f>SUM(H14:H14)</f>
        <v>55281.1</v>
      </c>
      <c r="I15" s="4"/>
      <c r="J15" s="13">
        <f>SUM(J14:J14)</f>
        <v>55500</v>
      </c>
      <c r="K15" s="30"/>
      <c r="L15" s="37">
        <f>SUM(L14:L14)</f>
        <v>53993</v>
      </c>
      <c r="M15" s="30"/>
      <c r="N15" s="13">
        <f>SUM(N14:N14)</f>
        <v>51000</v>
      </c>
      <c r="O15" s="4"/>
      <c r="P15" s="3">
        <f>SUM(P14:P14)</f>
        <v>43882</v>
      </c>
      <c r="Q15" s="4"/>
      <c r="R15" s="13">
        <f>SUM(R14:R14)</f>
        <v>38000</v>
      </c>
      <c r="S15" s="4"/>
      <c r="T15" s="3">
        <f>SUM(T14:T14)</f>
        <v>48500</v>
      </c>
      <c r="U15" s="4"/>
      <c r="V15" s="3">
        <f>SUM(V14:V14)</f>
        <v>36800</v>
      </c>
      <c r="X15" s="17"/>
    </row>
    <row r="16" spans="1:24" ht="15.75">
      <c r="A16" s="10" t="s">
        <v>19</v>
      </c>
      <c r="B16" s="13"/>
      <c r="C16" s="10"/>
      <c r="D16" s="32"/>
      <c r="E16" s="10"/>
      <c r="F16" s="13"/>
      <c r="G16" s="10"/>
      <c r="H16" s="32"/>
      <c r="I16" s="10"/>
      <c r="K16" s="32"/>
      <c r="L16" s="32"/>
      <c r="M16" s="32"/>
      <c r="O16" s="10"/>
      <c r="Q16" s="4"/>
      <c r="R16" s="13"/>
      <c r="S16" s="4"/>
      <c r="U16" s="11"/>
      <c r="X16" s="17"/>
    </row>
    <row r="17" spans="1:24" ht="15.75">
      <c r="A17" s="4" t="s">
        <v>1</v>
      </c>
      <c r="B17" s="13">
        <f>85000+3600</f>
        <v>88600</v>
      </c>
      <c r="C17" s="4"/>
      <c r="D17" s="30">
        <v>97496</v>
      </c>
      <c r="E17" s="4"/>
      <c r="F17" s="13">
        <v>101000</v>
      </c>
      <c r="G17" s="4"/>
      <c r="H17" s="30">
        <v>84685.85</v>
      </c>
      <c r="I17" s="4"/>
      <c r="J17" s="13">
        <v>85000</v>
      </c>
      <c r="K17" s="30"/>
      <c r="L17" s="13">
        <v>77809.57</v>
      </c>
      <c r="M17" s="30"/>
      <c r="N17" s="13">
        <v>78500</v>
      </c>
      <c r="O17" s="4"/>
      <c r="P17" s="3">
        <v>79751</v>
      </c>
      <c r="Q17" s="4"/>
      <c r="R17" s="13">
        <v>72000</v>
      </c>
      <c r="S17" s="4"/>
      <c r="T17" s="3">
        <v>73155</v>
      </c>
      <c r="U17" s="11"/>
      <c r="V17" s="3">
        <v>70000</v>
      </c>
      <c r="X17" s="17" t="s">
        <v>13</v>
      </c>
    </row>
    <row r="18" spans="1:24" ht="16.5" thickBot="1">
      <c r="A18" s="4" t="s">
        <v>21</v>
      </c>
      <c r="B18" s="20">
        <f>20000</f>
        <v>20000</v>
      </c>
      <c r="C18" s="4"/>
      <c r="D18" s="33">
        <v>13868</v>
      </c>
      <c r="E18" s="4"/>
      <c r="F18" s="20">
        <v>15000</v>
      </c>
      <c r="G18" s="4"/>
      <c r="H18" s="33">
        <v>26165.35</v>
      </c>
      <c r="I18" s="4"/>
      <c r="J18" s="20">
        <v>32000</v>
      </c>
      <c r="K18" s="30"/>
      <c r="L18" s="20">
        <v>25588.65</v>
      </c>
      <c r="M18" s="30"/>
      <c r="N18" s="20">
        <v>23000</v>
      </c>
      <c r="O18" s="4"/>
      <c r="P18" s="15">
        <v>13384</v>
      </c>
      <c r="Q18" s="4"/>
      <c r="R18" s="20">
        <v>12000</v>
      </c>
      <c r="S18" s="4"/>
      <c r="T18" s="15">
        <v>11515</v>
      </c>
      <c r="U18" s="4"/>
      <c r="V18" s="15">
        <v>12500</v>
      </c>
      <c r="X18" s="17" t="s">
        <v>13</v>
      </c>
    </row>
    <row r="19" spans="1:24" ht="15.75">
      <c r="A19" s="4"/>
      <c r="B19" s="13">
        <f>SUM(B16:B18)</f>
        <v>108600</v>
      </c>
      <c r="C19" s="4"/>
      <c r="D19" s="30">
        <f>SUM(D17:D18)</f>
        <v>111364</v>
      </c>
      <c r="E19" s="4"/>
      <c r="F19" s="13">
        <f>SUM(F16:F18)</f>
        <v>116000</v>
      </c>
      <c r="G19" s="4"/>
      <c r="H19" s="30">
        <f>SUM(H17:H18)</f>
        <v>110851.20000000001</v>
      </c>
      <c r="I19" s="4"/>
      <c r="J19" s="13">
        <f>SUM(J16:J18)</f>
        <v>117000</v>
      </c>
      <c r="K19" s="30"/>
      <c r="L19" s="13">
        <f>SUM(L16:L18)</f>
        <v>103398.22</v>
      </c>
      <c r="M19" s="30"/>
      <c r="N19" s="13">
        <f>SUM(N16:N18)</f>
        <v>101500</v>
      </c>
      <c r="O19" s="4"/>
      <c r="P19" s="3">
        <f>SUM(P16:P18)</f>
        <v>93135</v>
      </c>
      <c r="Q19" s="4"/>
      <c r="R19" s="13">
        <f>SUM(R16:R18)</f>
        <v>84000</v>
      </c>
      <c r="S19" s="4"/>
      <c r="T19" s="3">
        <f>SUM(T16:T18)</f>
        <v>84670</v>
      </c>
      <c r="U19" s="4"/>
      <c r="V19" s="3">
        <f>SUM(V16:V18)</f>
        <v>82500</v>
      </c>
      <c r="X19" s="17"/>
    </row>
    <row r="20" spans="1:24" ht="15.75">
      <c r="A20" s="10" t="s">
        <v>10</v>
      </c>
      <c r="B20" s="13"/>
      <c r="C20" s="10"/>
      <c r="D20" s="32"/>
      <c r="E20" s="10"/>
      <c r="F20" s="13"/>
      <c r="G20" s="10"/>
      <c r="H20" s="32"/>
      <c r="I20" s="10"/>
      <c r="K20" s="32"/>
      <c r="L20" s="13"/>
      <c r="M20" s="32"/>
      <c r="O20" s="10"/>
      <c r="Q20" s="4"/>
      <c r="R20" s="13"/>
      <c r="S20" s="4"/>
      <c r="U20" s="4"/>
      <c r="X20" s="17"/>
    </row>
    <row r="21" spans="1:24" ht="15.75">
      <c r="A21" s="4" t="s">
        <v>57</v>
      </c>
      <c r="B21" s="13">
        <v>3000</v>
      </c>
      <c r="C21" s="4"/>
      <c r="D21" s="30">
        <v>3062</v>
      </c>
      <c r="E21" s="4"/>
      <c r="F21" s="13">
        <v>3000</v>
      </c>
      <c r="G21" s="4"/>
      <c r="H21" s="30">
        <v>3062</v>
      </c>
      <c r="I21" s="4"/>
      <c r="J21" s="13">
        <v>2500</v>
      </c>
      <c r="K21" s="30"/>
      <c r="L21" s="13">
        <v>0</v>
      </c>
      <c r="M21" s="30"/>
      <c r="N21" s="13">
        <v>0</v>
      </c>
      <c r="O21" s="4"/>
      <c r="P21" s="3">
        <v>213</v>
      </c>
      <c r="Q21" s="4"/>
      <c r="R21" s="13">
        <v>1500</v>
      </c>
      <c r="S21" s="4"/>
      <c r="T21" s="3">
        <v>0</v>
      </c>
      <c r="U21" s="4"/>
      <c r="V21" s="3">
        <v>3000</v>
      </c>
      <c r="X21" s="17" t="s">
        <v>13</v>
      </c>
    </row>
    <row r="22" spans="1:24" ht="15.75" hidden="1">
      <c r="A22" s="4" t="s">
        <v>23</v>
      </c>
      <c r="B22" s="13">
        <v>0</v>
      </c>
      <c r="C22" s="4"/>
      <c r="D22" s="30">
        <v>0</v>
      </c>
      <c r="E22" s="4"/>
      <c r="F22" s="13">
        <v>0</v>
      </c>
      <c r="G22" s="4"/>
      <c r="H22" s="30">
        <v>0</v>
      </c>
      <c r="I22" s="4"/>
      <c r="J22" s="13">
        <v>0</v>
      </c>
      <c r="K22" s="30"/>
      <c r="L22" s="13">
        <v>3630</v>
      </c>
      <c r="M22" s="30"/>
      <c r="N22" s="13">
        <v>7500</v>
      </c>
      <c r="O22" s="4"/>
      <c r="P22" s="3">
        <v>3630</v>
      </c>
      <c r="Q22" s="4"/>
      <c r="R22" s="13">
        <v>3630</v>
      </c>
      <c r="S22" s="4"/>
      <c r="T22" s="3">
        <v>3630</v>
      </c>
      <c r="U22" s="4"/>
      <c r="V22" s="3">
        <v>3630</v>
      </c>
      <c r="X22" s="17"/>
    </row>
    <row r="23" spans="1:24" ht="15.75">
      <c r="A23" s="4" t="s">
        <v>24</v>
      </c>
      <c r="B23" s="13">
        <v>4000</v>
      </c>
      <c r="C23" s="4"/>
      <c r="D23" s="30">
        <v>2086</v>
      </c>
      <c r="E23" s="4"/>
      <c r="F23" s="13">
        <v>4000</v>
      </c>
      <c r="G23" s="4"/>
      <c r="H23" s="30">
        <v>3873.95</v>
      </c>
      <c r="I23" s="4"/>
      <c r="J23" s="13">
        <v>4500</v>
      </c>
      <c r="K23" s="30"/>
      <c r="L23" s="13">
        <v>6804.39</v>
      </c>
      <c r="M23" s="30"/>
      <c r="N23" s="13">
        <v>6500</v>
      </c>
      <c r="O23" s="4"/>
      <c r="P23" s="3">
        <v>5661</v>
      </c>
      <c r="Q23" s="4"/>
      <c r="R23" s="13">
        <v>4000</v>
      </c>
      <c r="S23" s="4"/>
      <c r="T23" s="3">
        <v>3796</v>
      </c>
      <c r="U23" s="4"/>
      <c r="V23" s="3">
        <v>4000</v>
      </c>
      <c r="X23" s="17"/>
    </row>
    <row r="24" spans="1:24" ht="15.75">
      <c r="A24" s="4" t="s">
        <v>0</v>
      </c>
      <c r="B24" s="13">
        <v>5000</v>
      </c>
      <c r="C24" s="4"/>
      <c r="D24" s="30">
        <v>5157</v>
      </c>
      <c r="E24" s="4"/>
      <c r="F24" s="13">
        <v>4500</v>
      </c>
      <c r="G24" s="4"/>
      <c r="H24" s="30">
        <v>4701.96</v>
      </c>
      <c r="I24" s="4"/>
      <c r="J24" s="13">
        <v>3500</v>
      </c>
      <c r="K24" s="30"/>
      <c r="L24" s="13">
        <v>4872.64</v>
      </c>
      <c r="M24" s="30"/>
      <c r="N24" s="13">
        <v>4000</v>
      </c>
      <c r="O24" s="4"/>
      <c r="P24" s="3">
        <v>2760</v>
      </c>
      <c r="Q24" s="4"/>
      <c r="R24" s="13">
        <v>4250</v>
      </c>
      <c r="S24" s="4"/>
      <c r="T24" s="3">
        <v>5231</v>
      </c>
      <c r="U24" s="4"/>
      <c r="V24" s="3">
        <v>4250</v>
      </c>
      <c r="X24" s="17"/>
    </row>
    <row r="25" spans="1:24" ht="15.75">
      <c r="A25" s="4" t="s">
        <v>11</v>
      </c>
      <c r="B25" s="13">
        <v>1500</v>
      </c>
      <c r="C25" s="4"/>
      <c r="D25" s="30">
        <v>1648</v>
      </c>
      <c r="E25" s="4"/>
      <c r="F25" s="13">
        <v>5000</v>
      </c>
      <c r="G25" s="4"/>
      <c r="H25" s="30">
        <v>5282.34</v>
      </c>
      <c r="I25" s="4"/>
      <c r="J25" s="13">
        <v>6500</v>
      </c>
      <c r="K25" s="30"/>
      <c r="L25" s="13">
        <v>6492.12</v>
      </c>
      <c r="M25" s="30"/>
      <c r="N25" s="13">
        <v>6500</v>
      </c>
      <c r="O25" s="4"/>
      <c r="P25" s="3">
        <v>4556</v>
      </c>
      <c r="Q25" s="4"/>
      <c r="R25" s="13">
        <v>3000</v>
      </c>
      <c r="S25" s="4"/>
      <c r="T25" s="3">
        <v>2850</v>
      </c>
      <c r="U25" s="4"/>
      <c r="V25" s="3">
        <v>1650</v>
      </c>
      <c r="X25" s="17"/>
    </row>
    <row r="26" spans="1:27" ht="15.75">
      <c r="A26" s="4" t="s">
        <v>25</v>
      </c>
      <c r="B26" s="13">
        <v>9000</v>
      </c>
      <c r="C26" s="4"/>
      <c r="D26" s="30">
        <v>8770</v>
      </c>
      <c r="E26" s="4"/>
      <c r="F26" s="13">
        <v>11000</v>
      </c>
      <c r="G26" s="4"/>
      <c r="H26" s="30">
        <v>11824.89</v>
      </c>
      <c r="I26" s="4"/>
      <c r="J26" s="13">
        <v>11000</v>
      </c>
      <c r="K26" s="30"/>
      <c r="L26" s="13">
        <v>10630.65</v>
      </c>
      <c r="M26" s="30"/>
      <c r="N26" s="13">
        <v>7500</v>
      </c>
      <c r="O26" s="4"/>
      <c r="P26" s="3">
        <v>11297</v>
      </c>
      <c r="Q26" s="4"/>
      <c r="R26" s="13">
        <v>17500</v>
      </c>
      <c r="S26" s="4"/>
      <c r="T26" s="3">
        <v>17657</v>
      </c>
      <c r="U26" s="4"/>
      <c r="V26" s="3">
        <v>13000</v>
      </c>
      <c r="X26" s="18" t="s">
        <v>13</v>
      </c>
      <c r="AA26" s="1" t="s">
        <v>13</v>
      </c>
    </row>
    <row r="27" spans="1:24" ht="15.75">
      <c r="A27" s="4" t="s">
        <v>26</v>
      </c>
      <c r="B27" s="13">
        <v>1500</v>
      </c>
      <c r="C27" s="4"/>
      <c r="D27" s="30">
        <v>1949</v>
      </c>
      <c r="E27" s="4"/>
      <c r="F27" s="13">
        <v>2000</v>
      </c>
      <c r="G27" s="4"/>
      <c r="H27" s="30">
        <v>3779.03</v>
      </c>
      <c r="I27" s="4"/>
      <c r="J27" s="13">
        <f>3250-1000</f>
        <v>2250</v>
      </c>
      <c r="K27" s="30"/>
      <c r="L27" s="13">
        <v>4241.24</v>
      </c>
      <c r="M27" s="30"/>
      <c r="N27" s="13">
        <v>1500</v>
      </c>
      <c r="O27" s="4"/>
      <c r="P27" s="3">
        <v>1766</v>
      </c>
      <c r="Q27" s="4"/>
      <c r="R27" s="13">
        <v>1250</v>
      </c>
      <c r="S27" s="4"/>
      <c r="T27" s="3">
        <v>1352</v>
      </c>
      <c r="U27" s="4"/>
      <c r="V27" s="3">
        <v>1750</v>
      </c>
      <c r="X27" s="18"/>
    </row>
    <row r="28" spans="1:24" ht="16.5" thickBot="1">
      <c r="A28" s="4" t="s">
        <v>2</v>
      </c>
      <c r="B28" s="20">
        <v>14000</v>
      </c>
      <c r="C28" s="4"/>
      <c r="D28" s="33">
        <v>10542</v>
      </c>
      <c r="E28" s="4"/>
      <c r="F28" s="20">
        <v>10000</v>
      </c>
      <c r="G28" s="4"/>
      <c r="H28" s="33">
        <v>14112.95</v>
      </c>
      <c r="I28" s="4"/>
      <c r="J28" s="20">
        <v>7500</v>
      </c>
      <c r="K28" s="30"/>
      <c r="L28" s="20">
        <v>7224.45</v>
      </c>
      <c r="M28" s="30"/>
      <c r="N28" s="20">
        <v>6500</v>
      </c>
      <c r="O28" s="4"/>
      <c r="P28" s="15">
        <v>8846</v>
      </c>
      <c r="Q28" s="4"/>
      <c r="R28" s="20">
        <v>5000</v>
      </c>
      <c r="S28" s="4"/>
      <c r="T28" s="15">
        <v>8445</v>
      </c>
      <c r="U28" s="4"/>
      <c r="V28" s="15">
        <v>5000</v>
      </c>
      <c r="X28" s="17"/>
    </row>
    <row r="29" spans="1:24" ht="15.75" customHeight="1">
      <c r="A29" s="4"/>
      <c r="B29" s="13">
        <f>SUM(B20:B28)</f>
        <v>38000</v>
      </c>
      <c r="C29" s="4"/>
      <c r="D29" s="30">
        <f>SUM(D21:D28)</f>
        <v>33214</v>
      </c>
      <c r="E29" s="4"/>
      <c r="F29" s="13">
        <f>SUM(F20:F28)</f>
        <v>39500</v>
      </c>
      <c r="G29" s="4"/>
      <c r="H29" s="30">
        <f>SUM(H21:H28)</f>
        <v>46637.119999999995</v>
      </c>
      <c r="I29" s="4"/>
      <c r="J29" s="13">
        <f>SUM(J20:J28)</f>
        <v>37750</v>
      </c>
      <c r="K29" s="30"/>
      <c r="L29" s="13">
        <f>SUM(L20:L28)</f>
        <v>43895.48999999999</v>
      </c>
      <c r="M29" s="30"/>
      <c r="N29" s="13">
        <f>SUM(N20:N28)</f>
        <v>40000</v>
      </c>
      <c r="O29" s="4"/>
      <c r="P29" s="3">
        <f>SUM(P20:P28)</f>
        <v>38729</v>
      </c>
      <c r="Q29" s="4"/>
      <c r="R29" s="13">
        <f>SUM(R20:R28)</f>
        <v>40130</v>
      </c>
      <c r="S29" s="4"/>
      <c r="T29" s="3">
        <f>SUM(T20:T28)</f>
        <v>42961</v>
      </c>
      <c r="U29" s="4"/>
      <c r="V29" s="3">
        <f>SUM(V20:V28)</f>
        <v>36280</v>
      </c>
      <c r="X29" s="17"/>
    </row>
    <row r="30" spans="1:24" ht="15.75">
      <c r="A30" s="10" t="s">
        <v>27</v>
      </c>
      <c r="B30" s="13"/>
      <c r="C30" s="10"/>
      <c r="D30" s="32"/>
      <c r="E30" s="10"/>
      <c r="F30" s="13"/>
      <c r="G30" s="10"/>
      <c r="H30" s="32"/>
      <c r="I30" s="10"/>
      <c r="K30" s="32"/>
      <c r="L30" s="32"/>
      <c r="M30" s="32"/>
      <c r="O30" s="10"/>
      <c r="Q30" s="4"/>
      <c r="R30" s="13"/>
      <c r="S30" s="4"/>
      <c r="U30" s="4"/>
      <c r="X30" s="17"/>
    </row>
    <row r="31" spans="1:24" ht="16.5" thickBot="1">
      <c r="A31" s="4" t="s">
        <v>50</v>
      </c>
      <c r="B31" s="24">
        <f>49000-20000-2000-1000</f>
        <v>26000</v>
      </c>
      <c r="C31" s="4"/>
      <c r="D31" s="30">
        <f>20895+19777+5807</f>
        <v>46479</v>
      </c>
      <c r="E31" s="4"/>
      <c r="F31" s="24">
        <v>49000</v>
      </c>
      <c r="G31" s="4"/>
      <c r="H31" s="30">
        <f>20030.92+27314+2288.96</f>
        <v>49633.88</v>
      </c>
      <c r="I31" s="4"/>
      <c r="J31" s="24">
        <v>45000</v>
      </c>
      <c r="K31" s="41"/>
      <c r="L31" s="24">
        <v>43697</v>
      </c>
      <c r="M31" s="41"/>
      <c r="N31" s="24">
        <v>40000</v>
      </c>
      <c r="O31" s="43"/>
      <c r="P31" s="15">
        <f>5922.56+24166.73+440.74</f>
        <v>30530.030000000002</v>
      </c>
      <c r="Q31" s="4"/>
      <c r="R31" s="20">
        <v>23500</v>
      </c>
      <c r="S31" s="4"/>
      <c r="T31" s="15">
        <v>17436</v>
      </c>
      <c r="U31" s="4"/>
      <c r="V31" s="15">
        <v>17000</v>
      </c>
      <c r="X31" s="17"/>
    </row>
    <row r="32" spans="1:24" ht="16.5" thickBot="1">
      <c r="A32" s="4" t="s">
        <v>53</v>
      </c>
      <c r="B32" s="20">
        <v>3630</v>
      </c>
      <c r="C32" s="4"/>
      <c r="D32" s="33">
        <v>3630</v>
      </c>
      <c r="E32" s="4"/>
      <c r="F32" s="20">
        <v>3630</v>
      </c>
      <c r="G32" s="4"/>
      <c r="H32" s="33">
        <v>3630</v>
      </c>
      <c r="I32" s="4"/>
      <c r="J32" s="20">
        <v>3630</v>
      </c>
      <c r="K32" s="30"/>
      <c r="L32" s="20">
        <v>0</v>
      </c>
      <c r="M32" s="30"/>
      <c r="N32" s="20">
        <v>0</v>
      </c>
      <c r="O32" s="4"/>
      <c r="P32" s="42"/>
      <c r="Q32" s="4"/>
      <c r="R32" s="24"/>
      <c r="S32" s="4"/>
      <c r="T32" s="42"/>
      <c r="U32" s="4"/>
      <c r="V32" s="42"/>
      <c r="X32" s="17"/>
    </row>
    <row r="33" spans="1:24" ht="15.75">
      <c r="A33" s="4"/>
      <c r="B33" s="13">
        <f>SUM(B31:B32)</f>
        <v>29630</v>
      </c>
      <c r="C33" s="4"/>
      <c r="D33" s="30">
        <f>SUM(D31:D32)</f>
        <v>50109</v>
      </c>
      <c r="E33" s="4"/>
      <c r="F33" s="13">
        <f>SUM(F31:F32)</f>
        <v>52630</v>
      </c>
      <c r="G33" s="4"/>
      <c r="H33" s="30">
        <f>SUM(H31:H32)</f>
        <v>53263.88</v>
      </c>
      <c r="I33" s="4"/>
      <c r="J33" s="13">
        <f>SUM(J31:J32)</f>
        <v>48630</v>
      </c>
      <c r="K33" s="30"/>
      <c r="L33" s="13">
        <f>SUM(L31:L32)</f>
        <v>43697</v>
      </c>
      <c r="M33" s="30"/>
      <c r="N33" s="13">
        <f>SUM(N31:N32)</f>
        <v>40000</v>
      </c>
      <c r="O33" s="4"/>
      <c r="P33" s="3">
        <f>SUM(P30:P31)</f>
        <v>30530.030000000002</v>
      </c>
      <c r="Q33" s="4"/>
      <c r="R33" s="13">
        <f>SUM(R30:R31)</f>
        <v>23500</v>
      </c>
      <c r="S33" s="4"/>
      <c r="T33" s="3">
        <f>SUM(T30:T31)</f>
        <v>17436</v>
      </c>
      <c r="U33" s="4"/>
      <c r="V33" s="3">
        <f>SUM(V30:V31)</f>
        <v>17000</v>
      </c>
      <c r="X33" s="17"/>
    </row>
    <row r="34" spans="1:24" ht="15.75">
      <c r="A34" s="10" t="s">
        <v>28</v>
      </c>
      <c r="B34" s="13"/>
      <c r="C34" s="10"/>
      <c r="D34" s="32"/>
      <c r="E34" s="10"/>
      <c r="F34" s="13"/>
      <c r="G34" s="10"/>
      <c r="H34" s="32"/>
      <c r="I34" s="10"/>
      <c r="K34" s="32"/>
      <c r="L34" s="13"/>
      <c r="M34" s="32"/>
      <c r="O34" s="10"/>
      <c r="Q34" s="4"/>
      <c r="R34" s="13"/>
      <c r="S34" s="4"/>
      <c r="U34" s="4"/>
      <c r="X34" s="17"/>
    </row>
    <row r="35" spans="1:24" ht="15.75">
      <c r="A35" s="4" t="s">
        <v>29</v>
      </c>
      <c r="B35" s="13">
        <v>15000</v>
      </c>
      <c r="C35" s="4"/>
      <c r="D35" s="30">
        <v>25891</v>
      </c>
      <c r="E35" s="4"/>
      <c r="F35" s="13">
        <v>24000</v>
      </c>
      <c r="G35" s="4"/>
      <c r="H35" s="30">
        <v>25807.11</v>
      </c>
      <c r="I35" s="4"/>
      <c r="J35" s="13">
        <v>24500</v>
      </c>
      <c r="K35" s="30"/>
      <c r="L35" s="13">
        <v>24032.3</v>
      </c>
      <c r="M35" s="30"/>
      <c r="N35" s="13">
        <v>25000</v>
      </c>
      <c r="O35" s="4"/>
      <c r="P35" s="3">
        <v>20061</v>
      </c>
      <c r="Q35" s="4"/>
      <c r="R35" s="13">
        <v>20000</v>
      </c>
      <c r="S35" s="4"/>
      <c r="T35" s="3">
        <v>18364</v>
      </c>
      <c r="U35" s="4"/>
      <c r="V35" s="3">
        <v>16250</v>
      </c>
      <c r="X35" s="17"/>
    </row>
    <row r="36" spans="1:24" ht="15.75">
      <c r="A36" s="4" t="s">
        <v>30</v>
      </c>
      <c r="B36" s="13">
        <v>100</v>
      </c>
      <c r="C36" s="4"/>
      <c r="D36" s="30">
        <v>65</v>
      </c>
      <c r="E36" s="4"/>
      <c r="F36" s="13">
        <v>100</v>
      </c>
      <c r="G36" s="4"/>
      <c r="H36" s="30">
        <v>70</v>
      </c>
      <c r="I36" s="4"/>
      <c r="J36" s="13">
        <v>150</v>
      </c>
      <c r="K36" s="30"/>
      <c r="L36" s="13">
        <v>147.5</v>
      </c>
      <c r="M36" s="30"/>
      <c r="N36" s="13">
        <v>280</v>
      </c>
      <c r="O36" s="4"/>
      <c r="P36" s="3">
        <v>603</v>
      </c>
      <c r="Q36" s="4"/>
      <c r="R36" s="13">
        <v>500</v>
      </c>
      <c r="S36" s="4"/>
      <c r="T36" s="3">
        <v>308</v>
      </c>
      <c r="U36" s="4"/>
      <c r="V36" s="3">
        <v>150</v>
      </c>
      <c r="X36" s="17"/>
    </row>
    <row r="37" spans="1:24" ht="16.5" thickBot="1">
      <c r="A37" s="4" t="s">
        <v>31</v>
      </c>
      <c r="B37" s="20">
        <v>500</v>
      </c>
      <c r="C37" s="4"/>
      <c r="D37" s="33">
        <v>528</v>
      </c>
      <c r="E37" s="4"/>
      <c r="F37" s="20">
        <v>500</v>
      </c>
      <c r="G37" s="4"/>
      <c r="H37" s="33">
        <v>910</v>
      </c>
      <c r="I37" s="4"/>
      <c r="J37" s="20">
        <v>500</v>
      </c>
      <c r="K37" s="30"/>
      <c r="L37" s="20">
        <v>851.88</v>
      </c>
      <c r="M37" s="30"/>
      <c r="N37" s="20">
        <v>1000</v>
      </c>
      <c r="O37" s="4"/>
      <c r="P37" s="15">
        <v>2157</v>
      </c>
      <c r="Q37" s="4"/>
      <c r="R37" s="20">
        <v>0</v>
      </c>
      <c r="S37" s="4"/>
      <c r="T37" s="15">
        <v>2096</v>
      </c>
      <c r="U37" s="4"/>
      <c r="V37" s="15">
        <v>1250</v>
      </c>
      <c r="X37" s="17"/>
    </row>
    <row r="38" spans="1:26" ht="15.75">
      <c r="A38" s="4"/>
      <c r="B38" s="13">
        <f>SUM(B34:B37)</f>
        <v>15600</v>
      </c>
      <c r="C38" s="4"/>
      <c r="D38" s="30">
        <f>SUM(D35:D37)</f>
        <v>26484</v>
      </c>
      <c r="E38" s="4"/>
      <c r="F38" s="13">
        <f>SUM(F34:F37)</f>
        <v>24600</v>
      </c>
      <c r="G38" s="4"/>
      <c r="H38" s="30">
        <f>SUM(H35:H37)</f>
        <v>26787.11</v>
      </c>
      <c r="I38" s="4"/>
      <c r="J38" s="13">
        <f>SUM(J34:J37)</f>
        <v>25150</v>
      </c>
      <c r="K38" s="30"/>
      <c r="L38" s="13">
        <f>SUM(L34:L37)</f>
        <v>25031.68</v>
      </c>
      <c r="M38" s="30"/>
      <c r="N38" s="13">
        <f>SUM(N34:N37)</f>
        <v>26280</v>
      </c>
      <c r="O38" s="4"/>
      <c r="P38" s="3">
        <f>SUM(P34:P37)</f>
        <v>22821</v>
      </c>
      <c r="Q38" s="4"/>
      <c r="R38" s="13">
        <f>SUM(R34:R37)</f>
        <v>20500</v>
      </c>
      <c r="S38" s="4"/>
      <c r="T38" s="3">
        <f>SUM(T34:T37)</f>
        <v>20768</v>
      </c>
      <c r="U38" s="4"/>
      <c r="V38" s="3">
        <f>SUM(V34:V37)</f>
        <v>17650</v>
      </c>
      <c r="X38" s="18" t="s">
        <v>13</v>
      </c>
      <c r="Z38" s="1" t="s">
        <v>13</v>
      </c>
    </row>
    <row r="39" spans="1:24" ht="15.75">
      <c r="A39" s="10" t="s">
        <v>32</v>
      </c>
      <c r="B39" s="13"/>
      <c r="C39" s="10"/>
      <c r="D39" s="32"/>
      <c r="E39" s="10"/>
      <c r="F39" s="13"/>
      <c r="G39" s="10"/>
      <c r="H39" s="32"/>
      <c r="I39" s="10"/>
      <c r="K39" s="32"/>
      <c r="L39" s="32"/>
      <c r="M39" s="32"/>
      <c r="O39" s="10"/>
      <c r="Q39" s="4"/>
      <c r="R39" s="13"/>
      <c r="S39" s="4"/>
      <c r="U39" s="4"/>
      <c r="X39" s="17"/>
    </row>
    <row r="40" spans="1:24" ht="15.75">
      <c r="A40" s="4" t="s">
        <v>33</v>
      </c>
      <c r="B40" s="13">
        <v>250</v>
      </c>
      <c r="C40" s="4"/>
      <c r="D40" s="30">
        <v>245</v>
      </c>
      <c r="E40" s="4"/>
      <c r="F40" s="13">
        <v>250</v>
      </c>
      <c r="G40" s="4"/>
      <c r="H40" s="30">
        <v>627.73</v>
      </c>
      <c r="I40" s="4"/>
      <c r="J40" s="13">
        <v>250</v>
      </c>
      <c r="K40" s="30"/>
      <c r="L40" s="13">
        <f>302.5+189.79</f>
        <v>492.28999999999996</v>
      </c>
      <c r="M40" s="30"/>
      <c r="N40" s="13">
        <v>250</v>
      </c>
      <c r="O40" s="4"/>
      <c r="P40" s="3">
        <v>277</v>
      </c>
      <c r="Q40" s="4"/>
      <c r="R40" s="13">
        <v>225</v>
      </c>
      <c r="S40" s="4"/>
      <c r="T40" s="3">
        <v>224</v>
      </c>
      <c r="U40" s="4"/>
      <c r="V40" s="3">
        <v>200</v>
      </c>
      <c r="X40" s="17"/>
    </row>
    <row r="41" spans="1:24" ht="15.75">
      <c r="A41" s="4" t="s">
        <v>48</v>
      </c>
      <c r="B41" s="13">
        <v>4000</v>
      </c>
      <c r="C41" s="4"/>
      <c r="D41" s="30">
        <v>3918</v>
      </c>
      <c r="E41" s="4"/>
      <c r="F41" s="13">
        <v>3500</v>
      </c>
      <c r="G41" s="4"/>
      <c r="H41" s="30">
        <v>3546.5</v>
      </c>
      <c r="I41" s="4"/>
      <c r="J41" s="13">
        <v>3000</v>
      </c>
      <c r="K41" s="30"/>
      <c r="L41" s="13">
        <v>2739.75</v>
      </c>
      <c r="M41" s="30"/>
      <c r="N41" s="13">
        <v>3100</v>
      </c>
      <c r="O41" s="4"/>
      <c r="P41" s="3">
        <f>932+332.75+2453.56</f>
        <v>3718.31</v>
      </c>
      <c r="Q41" s="4"/>
      <c r="R41" s="13">
        <v>2500</v>
      </c>
      <c r="S41" s="4"/>
      <c r="T41" s="3">
        <v>1025</v>
      </c>
      <c r="U41" s="4"/>
      <c r="V41" s="3">
        <v>500</v>
      </c>
      <c r="X41" s="17"/>
    </row>
    <row r="42" spans="1:24" ht="16.5" thickBot="1">
      <c r="A42" s="4" t="s">
        <v>49</v>
      </c>
      <c r="B42" s="20">
        <v>250</v>
      </c>
      <c r="C42" s="4"/>
      <c r="D42" s="33">
        <v>474</v>
      </c>
      <c r="E42" s="4"/>
      <c r="F42" s="20">
        <v>250</v>
      </c>
      <c r="G42" s="4"/>
      <c r="H42" s="33">
        <v>248.4</v>
      </c>
      <c r="I42" s="4"/>
      <c r="J42" s="20">
        <v>250</v>
      </c>
      <c r="K42" s="30"/>
      <c r="L42" s="20">
        <v>1019.31</v>
      </c>
      <c r="M42" s="30"/>
      <c r="N42" s="20">
        <v>0</v>
      </c>
      <c r="O42" s="4"/>
      <c r="P42" s="15">
        <v>1499</v>
      </c>
      <c r="Q42" s="4"/>
      <c r="R42" s="20">
        <v>0</v>
      </c>
      <c r="S42" s="4"/>
      <c r="T42" s="15">
        <v>-3690</v>
      </c>
      <c r="U42" s="4"/>
      <c r="V42" s="15">
        <v>1250</v>
      </c>
      <c r="X42" s="17"/>
    </row>
    <row r="43" spans="1:26" ht="15.75">
      <c r="A43" s="4"/>
      <c r="B43" s="13">
        <f>SUM(B39:B42)</f>
        <v>4500</v>
      </c>
      <c r="C43" s="4"/>
      <c r="D43" s="30">
        <f>SUM(D40:D42)</f>
        <v>4637</v>
      </c>
      <c r="E43" s="4"/>
      <c r="F43" s="13">
        <f>SUM(F39:F42)</f>
        <v>4000</v>
      </c>
      <c r="G43" s="4"/>
      <c r="H43" s="30">
        <f>SUM(H40:H42)</f>
        <v>4422.629999999999</v>
      </c>
      <c r="I43" s="4"/>
      <c r="J43" s="13">
        <f>SUM(J39:J42)</f>
        <v>3500</v>
      </c>
      <c r="K43" s="30"/>
      <c r="L43" s="13">
        <f>SUM(L39:L42)</f>
        <v>4251.35</v>
      </c>
      <c r="M43" s="30"/>
      <c r="N43" s="13">
        <f>SUM(N39:N42)</f>
        <v>3350</v>
      </c>
      <c r="O43" s="4"/>
      <c r="P43" s="3">
        <f>SUM(P39:P42)</f>
        <v>5494.3099999999995</v>
      </c>
      <c r="Q43" s="4"/>
      <c r="R43" s="13">
        <f>SUM(R39:R42)</f>
        <v>2725</v>
      </c>
      <c r="S43" s="4"/>
      <c r="T43" s="3">
        <f>SUM(T39:T42)</f>
        <v>-2441</v>
      </c>
      <c r="U43" s="4"/>
      <c r="V43" s="3">
        <f>SUM(V39:V42)</f>
        <v>1950</v>
      </c>
      <c r="X43" s="18" t="s">
        <v>13</v>
      </c>
      <c r="Z43" s="1" t="s">
        <v>13</v>
      </c>
    </row>
    <row r="44" spans="1:24" ht="15.75">
      <c r="A44" s="10" t="s">
        <v>34</v>
      </c>
      <c r="B44" s="13"/>
      <c r="C44" s="10"/>
      <c r="D44" s="32"/>
      <c r="E44" s="10"/>
      <c r="F44" s="13"/>
      <c r="G44" s="10"/>
      <c r="H44" s="32"/>
      <c r="I44" s="10"/>
      <c r="K44" s="32"/>
      <c r="L44" s="13"/>
      <c r="M44" s="32"/>
      <c r="O44" s="10"/>
      <c r="Q44" s="4"/>
      <c r="R44" s="13"/>
      <c r="S44" s="4"/>
      <c r="U44" s="4"/>
      <c r="X44" s="17"/>
    </row>
    <row r="45" spans="1:24" ht="15.75">
      <c r="A45" s="4" t="s">
        <v>35</v>
      </c>
      <c r="B45" s="13">
        <v>5500</v>
      </c>
      <c r="C45" s="4"/>
      <c r="D45" s="30">
        <f>9211-335-589</f>
        <v>8287</v>
      </c>
      <c r="E45" s="4"/>
      <c r="F45" s="13">
        <v>8000</v>
      </c>
      <c r="G45" s="4"/>
      <c r="H45" s="30">
        <v>16357.95</v>
      </c>
      <c r="I45" s="4"/>
      <c r="J45" s="13">
        <v>14500</v>
      </c>
      <c r="K45" s="30"/>
      <c r="L45" s="13">
        <v>11756.36</v>
      </c>
      <c r="M45" s="30"/>
      <c r="N45" s="13">
        <v>15000</v>
      </c>
      <c r="O45" s="4"/>
      <c r="P45" s="3">
        <v>13629</v>
      </c>
      <c r="Q45" s="4"/>
      <c r="R45" s="13">
        <v>12000</v>
      </c>
      <c r="S45" s="4"/>
      <c r="T45" s="3">
        <v>11047</v>
      </c>
      <c r="U45" s="4"/>
      <c r="V45" s="3">
        <v>7500</v>
      </c>
      <c r="X45" s="17"/>
    </row>
    <row r="46" spans="1:24" ht="15.75">
      <c r="A46" s="4" t="s">
        <v>47</v>
      </c>
      <c r="B46" s="13">
        <v>2500</v>
      </c>
      <c r="C46" s="4"/>
      <c r="D46" s="30">
        <v>3254</v>
      </c>
      <c r="E46" s="4"/>
      <c r="F46" s="13">
        <v>500</v>
      </c>
      <c r="G46" s="4"/>
      <c r="H46" s="30">
        <v>315</v>
      </c>
      <c r="I46" s="4"/>
      <c r="J46" s="13">
        <v>1500</v>
      </c>
      <c r="K46" s="30"/>
      <c r="L46" s="13">
        <v>3427.5</v>
      </c>
      <c r="M46" s="30"/>
      <c r="N46" s="13">
        <v>3000</v>
      </c>
      <c r="O46" s="4"/>
      <c r="P46" s="3">
        <v>0</v>
      </c>
      <c r="Q46" s="4"/>
      <c r="R46" s="13">
        <v>0</v>
      </c>
      <c r="S46" s="4"/>
      <c r="T46" s="3">
        <v>0</v>
      </c>
      <c r="U46" s="4"/>
      <c r="V46" s="3">
        <v>0</v>
      </c>
      <c r="X46" s="17"/>
    </row>
    <row r="47" spans="1:24" ht="15.75">
      <c r="A47" s="4" t="s">
        <v>36</v>
      </c>
      <c r="B47" s="13">
        <v>300</v>
      </c>
      <c r="C47" s="4"/>
      <c r="D47" s="30">
        <v>335</v>
      </c>
      <c r="E47" s="4"/>
      <c r="F47" s="13">
        <v>300</v>
      </c>
      <c r="G47" s="4"/>
      <c r="H47" s="30">
        <v>297.4</v>
      </c>
      <c r="I47" s="4"/>
      <c r="J47" s="13">
        <v>750</v>
      </c>
      <c r="K47" s="30"/>
      <c r="L47" s="13">
        <v>716.04</v>
      </c>
      <c r="M47" s="30"/>
      <c r="N47" s="13">
        <v>1000</v>
      </c>
      <c r="O47" s="4"/>
      <c r="P47" s="3">
        <v>507</v>
      </c>
      <c r="Q47" s="4"/>
      <c r="R47" s="13">
        <v>1000</v>
      </c>
      <c r="S47" s="4"/>
      <c r="T47" s="3">
        <v>1165</v>
      </c>
      <c r="U47" s="4"/>
      <c r="V47" s="3">
        <v>500</v>
      </c>
      <c r="X47" s="17"/>
    </row>
    <row r="48" spans="1:24" ht="16.5" thickBot="1">
      <c r="A48" s="4" t="s">
        <v>64</v>
      </c>
      <c r="B48" s="20">
        <v>0</v>
      </c>
      <c r="C48" s="4"/>
      <c r="D48" s="33">
        <v>0</v>
      </c>
      <c r="E48" s="4"/>
      <c r="F48" s="20">
        <v>0</v>
      </c>
      <c r="G48" s="4"/>
      <c r="H48" s="33">
        <v>0</v>
      </c>
      <c r="I48" s="4"/>
      <c r="J48" s="20">
        <v>100</v>
      </c>
      <c r="K48" s="30"/>
      <c r="L48" s="20">
        <v>-158.56</v>
      </c>
      <c r="M48" s="30"/>
      <c r="N48" s="20">
        <v>1000</v>
      </c>
      <c r="O48" s="4"/>
      <c r="P48" s="15">
        <f>287.67+203.8+45.62+173.65+795</f>
        <v>1505.74</v>
      </c>
      <c r="Q48" s="4"/>
      <c r="R48" s="20">
        <v>250</v>
      </c>
      <c r="S48" s="4"/>
      <c r="T48" s="15">
        <f>245+208</f>
        <v>453</v>
      </c>
      <c r="U48" s="4"/>
      <c r="V48" s="15">
        <v>450</v>
      </c>
      <c r="X48" s="17"/>
    </row>
    <row r="49" spans="1:26" ht="15.75">
      <c r="A49" s="4"/>
      <c r="B49" s="13">
        <f>SUM(B44:B48)</f>
        <v>8300</v>
      </c>
      <c r="C49" s="4"/>
      <c r="D49" s="30">
        <f>SUM(D45:D48)</f>
        <v>11876</v>
      </c>
      <c r="E49" s="4"/>
      <c r="F49" s="13">
        <f>SUM(F44:F48)</f>
        <v>8800</v>
      </c>
      <c r="G49" s="4"/>
      <c r="H49" s="30">
        <f>SUM(H45:H48)</f>
        <v>16970.350000000002</v>
      </c>
      <c r="I49" s="4"/>
      <c r="J49" s="13">
        <f>SUM(J44:J48)</f>
        <v>16850</v>
      </c>
      <c r="K49" s="30"/>
      <c r="L49" s="13">
        <f>SUM(L44:L48)</f>
        <v>15741.340000000002</v>
      </c>
      <c r="M49" s="30"/>
      <c r="N49" s="13">
        <f>SUM(N44:N48)</f>
        <v>20000</v>
      </c>
      <c r="O49" s="4"/>
      <c r="P49" s="3">
        <f>SUM(P44:P48)</f>
        <v>15641.74</v>
      </c>
      <c r="Q49" s="4"/>
      <c r="R49" s="13">
        <f>SUM(R44:R48)</f>
        <v>13250</v>
      </c>
      <c r="S49" s="4"/>
      <c r="T49" s="3">
        <f>SUM(T44:T48)</f>
        <v>12665</v>
      </c>
      <c r="U49" s="4"/>
      <c r="V49" s="3">
        <f>SUM(V44:V48)</f>
        <v>8450</v>
      </c>
      <c r="X49" s="18" t="s">
        <v>13</v>
      </c>
      <c r="Z49" s="1" t="s">
        <v>13</v>
      </c>
    </row>
    <row r="50" spans="1:24" ht="15.75">
      <c r="A50" s="10" t="s">
        <v>38</v>
      </c>
      <c r="B50" s="13"/>
      <c r="C50" s="10"/>
      <c r="D50" s="32"/>
      <c r="E50" s="10"/>
      <c r="F50" s="13"/>
      <c r="G50" s="10"/>
      <c r="H50" s="32"/>
      <c r="I50" s="10"/>
      <c r="K50" s="32"/>
      <c r="L50" s="13"/>
      <c r="M50" s="32"/>
      <c r="O50" s="10"/>
      <c r="Q50" s="4"/>
      <c r="R50" s="13"/>
      <c r="S50" s="4"/>
      <c r="U50" s="4"/>
      <c r="X50" s="17"/>
    </row>
    <row r="51" spans="1:24" ht="15.75">
      <c r="A51" s="4" t="s">
        <v>39</v>
      </c>
      <c r="B51" s="13">
        <v>5000</v>
      </c>
      <c r="C51" s="4"/>
      <c r="D51" s="30">
        <v>4780</v>
      </c>
      <c r="E51" s="4"/>
      <c r="F51" s="13">
        <v>5000</v>
      </c>
      <c r="G51" s="4"/>
      <c r="H51" s="30">
        <v>5800.31</v>
      </c>
      <c r="I51" s="4"/>
      <c r="J51" s="13">
        <v>5000</v>
      </c>
      <c r="K51" s="30"/>
      <c r="L51" s="13">
        <v>4859.16</v>
      </c>
      <c r="M51" s="30"/>
      <c r="N51" s="13">
        <v>5250</v>
      </c>
      <c r="O51" s="4"/>
      <c r="P51" s="3">
        <v>4770</v>
      </c>
      <c r="Q51" s="4"/>
      <c r="R51" s="13">
        <v>3000</v>
      </c>
      <c r="S51" s="4"/>
      <c r="T51" s="3">
        <v>6927</v>
      </c>
      <c r="U51" s="4"/>
      <c r="V51" s="3">
        <v>2850</v>
      </c>
      <c r="X51" s="17"/>
    </row>
    <row r="52" spans="1:24" ht="15.75">
      <c r="A52" s="4" t="s">
        <v>3</v>
      </c>
      <c r="B52" s="13">
        <v>1500</v>
      </c>
      <c r="C52" s="4"/>
      <c r="D52" s="30">
        <v>1642</v>
      </c>
      <c r="E52" s="4"/>
      <c r="F52" s="13">
        <v>2100</v>
      </c>
      <c r="G52" s="4"/>
      <c r="H52" s="30">
        <v>2395.59</v>
      </c>
      <c r="I52" s="4"/>
      <c r="J52" s="13">
        <v>2250</v>
      </c>
      <c r="K52" s="30"/>
      <c r="L52" s="13">
        <v>2511.59</v>
      </c>
      <c r="M52" s="30"/>
      <c r="N52" s="13">
        <v>2500</v>
      </c>
      <c r="O52" s="4"/>
      <c r="P52" s="3">
        <v>1937.58</v>
      </c>
      <c r="Q52" s="4"/>
      <c r="R52" s="13">
        <v>1250</v>
      </c>
      <c r="S52" s="4"/>
      <c r="T52" s="3">
        <v>1384</v>
      </c>
      <c r="U52" s="4"/>
      <c r="V52" s="3">
        <v>900</v>
      </c>
      <c r="X52" s="17"/>
    </row>
    <row r="53" spans="1:24" ht="15.75">
      <c r="A53" s="4" t="s">
        <v>43</v>
      </c>
      <c r="B53" s="13">
        <v>100</v>
      </c>
      <c r="C53" s="4"/>
      <c r="D53" s="30">
        <f>578-420</f>
        <v>158</v>
      </c>
      <c r="E53" s="4"/>
      <c r="F53" s="13">
        <v>100</v>
      </c>
      <c r="G53" s="4"/>
      <c r="H53" s="30">
        <f>849-616.6</f>
        <v>232.39999999999998</v>
      </c>
      <c r="I53" s="4"/>
      <c r="J53" s="13">
        <v>100</v>
      </c>
      <c r="K53" s="30"/>
      <c r="L53" s="13">
        <f>-22.67-986.84</f>
        <v>-1009.51</v>
      </c>
      <c r="M53" s="30"/>
      <c r="N53" s="13">
        <v>-980</v>
      </c>
      <c r="O53" s="4"/>
      <c r="P53" s="3">
        <v>-1328</v>
      </c>
      <c r="Q53" s="4"/>
      <c r="R53" s="13">
        <v>-1325</v>
      </c>
      <c r="S53" s="4"/>
      <c r="T53" s="3">
        <v>-1488</v>
      </c>
      <c r="U53" s="4"/>
      <c r="V53" s="3">
        <v>0</v>
      </c>
      <c r="X53" s="17"/>
    </row>
    <row r="54" spans="1:24" ht="15.75">
      <c r="A54" s="4" t="s">
        <v>63</v>
      </c>
      <c r="B54" s="13">
        <v>0</v>
      </c>
      <c r="C54" s="4"/>
      <c r="D54" s="30">
        <v>42155</v>
      </c>
      <c r="E54" s="4"/>
      <c r="F54" s="13">
        <v>0</v>
      </c>
      <c r="G54" s="4"/>
      <c r="H54" s="30">
        <v>0</v>
      </c>
      <c r="I54" s="4"/>
      <c r="J54" s="13">
        <v>0</v>
      </c>
      <c r="K54" s="30"/>
      <c r="L54" s="13"/>
      <c r="M54" s="30"/>
      <c r="O54" s="4"/>
      <c r="Q54" s="4"/>
      <c r="R54" s="13"/>
      <c r="S54" s="4"/>
      <c r="U54" s="4"/>
      <c r="X54" s="17"/>
    </row>
    <row r="55" spans="1:24" ht="16.5" thickBot="1">
      <c r="A55" s="4" t="s">
        <v>20</v>
      </c>
      <c r="B55" s="20">
        <v>270</v>
      </c>
      <c r="C55" s="4"/>
      <c r="D55" s="33">
        <v>589</v>
      </c>
      <c r="E55" s="4"/>
      <c r="F55" s="20">
        <v>270</v>
      </c>
      <c r="G55" s="4"/>
      <c r="H55" s="33">
        <v>253.5</v>
      </c>
      <c r="I55" s="4"/>
      <c r="J55" s="20">
        <v>270</v>
      </c>
      <c r="K55" s="30"/>
      <c r="L55" s="20">
        <v>223.85</v>
      </c>
      <c r="M55" s="30"/>
      <c r="N55" s="20">
        <v>100</v>
      </c>
      <c r="O55" s="4"/>
      <c r="P55" s="15">
        <f>206-2131.9</f>
        <v>-1925.9</v>
      </c>
      <c r="Q55" s="4"/>
      <c r="R55" s="20">
        <v>200</v>
      </c>
      <c r="S55" s="4"/>
      <c r="T55" s="15">
        <v>1355</v>
      </c>
      <c r="U55" s="4"/>
      <c r="V55" s="15">
        <v>100</v>
      </c>
      <c r="X55" s="17"/>
    </row>
    <row r="56" spans="1:26" ht="15.75">
      <c r="A56" s="4"/>
      <c r="B56" s="13">
        <f>SUM(B50:B55)</f>
        <v>6870</v>
      </c>
      <c r="C56" s="4"/>
      <c r="D56" s="30">
        <f>SUM(D51:D55)</f>
        <v>49324</v>
      </c>
      <c r="E56" s="4"/>
      <c r="F56" s="13">
        <f>SUM(F50:F55)</f>
        <v>7470</v>
      </c>
      <c r="G56" s="4"/>
      <c r="H56" s="30">
        <f>SUM(H51:H55)</f>
        <v>8681.800000000001</v>
      </c>
      <c r="I56" s="4"/>
      <c r="J56" s="13">
        <f>SUM(J50:J55)</f>
        <v>7620</v>
      </c>
      <c r="K56" s="30"/>
      <c r="L56" s="13">
        <f>SUM(L50:L55)</f>
        <v>6585.09</v>
      </c>
      <c r="M56" s="30"/>
      <c r="N56" s="13">
        <f>SUM(N50:N55)</f>
        <v>6870</v>
      </c>
      <c r="O56" s="4"/>
      <c r="P56" s="3">
        <f>SUM(P50:P55)</f>
        <v>3453.68</v>
      </c>
      <c r="Q56" s="4"/>
      <c r="R56" s="13">
        <f>SUM(R50:R55)</f>
        <v>3125</v>
      </c>
      <c r="S56" s="4"/>
      <c r="T56" s="3">
        <f>SUM(T50:T55)</f>
        <v>8178</v>
      </c>
      <c r="U56" s="4"/>
      <c r="V56" s="3">
        <f>SUM(V50:V55)</f>
        <v>3850</v>
      </c>
      <c r="X56" s="18" t="s">
        <v>13</v>
      </c>
      <c r="Z56" s="1" t="s">
        <v>13</v>
      </c>
    </row>
    <row r="57" spans="1:25" ht="15.75">
      <c r="A57" s="4"/>
      <c r="B57" s="13"/>
      <c r="C57" s="4"/>
      <c r="D57" s="30"/>
      <c r="E57" s="4"/>
      <c r="F57" s="13"/>
      <c r="G57" s="4"/>
      <c r="H57" s="30"/>
      <c r="I57" s="4"/>
      <c r="K57" s="30"/>
      <c r="L57" s="13"/>
      <c r="M57" s="30"/>
      <c r="O57" s="4"/>
      <c r="Q57" s="4"/>
      <c r="R57" s="13"/>
      <c r="S57" s="4"/>
      <c r="U57" s="4"/>
      <c r="X57" s="17"/>
      <c r="Y57" s="1" t="s">
        <v>13</v>
      </c>
    </row>
    <row r="58" spans="1:24" ht="15.75">
      <c r="A58" s="10" t="s">
        <v>12</v>
      </c>
      <c r="B58" s="25">
        <f>B15+B19+B29+B33+B38+B43+B49+B56</f>
        <v>223500</v>
      </c>
      <c r="C58" s="10"/>
      <c r="D58" s="25">
        <f>D15+D19+D29+D33+D38+D43+D49+D56</f>
        <v>311390</v>
      </c>
      <c r="E58" s="10"/>
      <c r="F58" s="25">
        <f>F15+F19+F29+F33+F38+F43+F49+F56</f>
        <v>306500</v>
      </c>
      <c r="G58" s="10"/>
      <c r="H58" s="25">
        <f>H15+H19+H29+H33+H38+H43+H49+H56</f>
        <v>322895.18999999994</v>
      </c>
      <c r="I58" s="10"/>
      <c r="J58" s="25">
        <f>J15+J19+J29+J33+J38+J43+J49+J56</f>
        <v>312000</v>
      </c>
      <c r="K58" s="32"/>
      <c r="L58" s="25">
        <f>L15+L19+L29+L33+L38+L43+L49+L56</f>
        <v>296593.17000000004</v>
      </c>
      <c r="M58" s="32"/>
      <c r="N58" s="25">
        <f>N15+N19+N29+N33+N38+N43+N49+N56</f>
        <v>289000</v>
      </c>
      <c r="O58" s="4"/>
      <c r="P58" s="25">
        <f>P15+P19+P29+P33+P38+P43+P49+P56</f>
        <v>253686.75999999998</v>
      </c>
      <c r="Q58" s="4"/>
      <c r="R58" s="25">
        <f>R15+R19+R29+R33+R38+R43+R49+R56</f>
        <v>225230</v>
      </c>
      <c r="S58" s="4"/>
      <c r="T58" s="25">
        <f>T15+T19+T29+T33+T38+T43+T49+T56</f>
        <v>232737</v>
      </c>
      <c r="U58" s="4"/>
      <c r="V58" s="25">
        <f>V15+V19+V29+V33+V38+V43+V49+V56</f>
        <v>204480</v>
      </c>
      <c r="X58" s="17"/>
    </row>
    <row r="59" spans="2:24" ht="15.75">
      <c r="B59" s="13"/>
      <c r="D59" s="38"/>
      <c r="F59" s="13"/>
      <c r="K59" s="38"/>
      <c r="L59" s="13"/>
      <c r="M59" s="38"/>
      <c r="O59" s="4"/>
      <c r="Q59" s="4"/>
      <c r="R59" s="13"/>
      <c r="S59" s="4"/>
      <c r="U59" s="4"/>
      <c r="X59" s="17"/>
    </row>
    <row r="60" spans="1:24" ht="16.5" thickBot="1">
      <c r="A60" s="10" t="s">
        <v>40</v>
      </c>
      <c r="B60" s="28">
        <f>SUM(B12-B58)</f>
        <v>0</v>
      </c>
      <c r="C60" s="10"/>
      <c r="D60" s="28">
        <f>SUM(D12-D58)</f>
        <v>-29775</v>
      </c>
      <c r="E60" s="10"/>
      <c r="F60" s="28">
        <f>SUM(F12-F58)</f>
        <v>0</v>
      </c>
      <c r="G60" s="10"/>
      <c r="H60" s="28">
        <f>SUM(H12-H58)</f>
        <v>1091.5600000000559</v>
      </c>
      <c r="I60" s="10"/>
      <c r="J60" s="28">
        <f>SUM(J12-J58)</f>
        <v>0</v>
      </c>
      <c r="K60" s="32"/>
      <c r="L60" s="28">
        <f>SUM(L12-L58)</f>
        <v>11568.079999999958</v>
      </c>
      <c r="M60" s="32"/>
      <c r="N60" s="28">
        <f>SUM(N12-N58)</f>
        <v>2000</v>
      </c>
      <c r="O60" s="4"/>
      <c r="P60" s="29">
        <f>SUM(P12-P58)</f>
        <v>1318.4400000000314</v>
      </c>
      <c r="Q60" s="4"/>
      <c r="R60" s="28">
        <f>SUM(R12-R58)</f>
        <v>-4780</v>
      </c>
      <c r="S60" s="4"/>
      <c r="T60" s="29">
        <f>SUM(T12-T58)</f>
        <v>7861</v>
      </c>
      <c r="U60" s="4"/>
      <c r="V60" s="29">
        <f>SUM(V12-V58)</f>
        <v>3120</v>
      </c>
      <c r="X60" s="17"/>
    </row>
    <row r="61" spans="11:24" ht="16.5" thickTop="1">
      <c r="K61" s="4"/>
      <c r="L61" s="30"/>
      <c r="M61" s="4"/>
      <c r="Q61" s="4"/>
      <c r="S61" s="4"/>
      <c r="T61" s="13"/>
      <c r="U61" s="4"/>
      <c r="X61" s="17"/>
    </row>
    <row r="62" spans="1:24" ht="15.75">
      <c r="A62" s="4"/>
      <c r="B62" s="4"/>
      <c r="C62" s="4"/>
      <c r="D62" s="4"/>
      <c r="E62" s="4"/>
      <c r="F62" s="4"/>
      <c r="G62" s="4"/>
      <c r="H62" s="30"/>
      <c r="I62" s="4"/>
      <c r="K62" s="4"/>
      <c r="L62" s="30"/>
      <c r="M62" s="4"/>
      <c r="X62" s="17"/>
    </row>
    <row r="63" ht="15.75">
      <c r="X63" s="17"/>
    </row>
    <row r="64" ht="15.75">
      <c r="X64" s="17"/>
    </row>
    <row r="65" spans="8:24" ht="15.75">
      <c r="H65" s="1"/>
      <c r="J65" s="1"/>
      <c r="L65" s="1"/>
      <c r="N65" s="1"/>
      <c r="O65" s="1"/>
      <c r="P65" s="1"/>
      <c r="R65" s="1"/>
      <c r="T65" s="1"/>
      <c r="V65" s="1"/>
      <c r="X65" s="17" t="s">
        <v>13</v>
      </c>
    </row>
    <row r="66" spans="8:24" ht="15.75">
      <c r="H66" s="1"/>
      <c r="J66" s="1"/>
      <c r="L66" s="1"/>
      <c r="N66" s="1"/>
      <c r="O66" s="1"/>
      <c r="P66" s="1"/>
      <c r="R66" s="1"/>
      <c r="T66" s="1"/>
      <c r="V66" s="1"/>
      <c r="X66" s="17"/>
    </row>
  </sheetData>
  <sheetProtection/>
  <mergeCells count="1">
    <mergeCell ref="A1:V1"/>
  </mergeCells>
  <printOptions/>
  <pageMargins left="0.7" right="0.7" top="0.75" bottom="0.75" header="0.3" footer="0.3"/>
  <pageSetup orientation="portrait" paperSize="9" scale="75"/>
</worksheet>
</file>

<file path=xl/worksheets/sheet3.xml><?xml version="1.0" encoding="utf-8"?>
<worksheet xmlns="http://schemas.openxmlformats.org/spreadsheetml/2006/main" xmlns:r="http://schemas.openxmlformats.org/officeDocument/2006/relationships">
  <dimension ref="A1:AA66"/>
  <sheetViews>
    <sheetView zoomScale="150" zoomScaleNormal="150" zoomScalePageLayoutView="0" workbookViewId="0" topLeftCell="A1">
      <selection activeCell="A1" sqref="A1:IV16384"/>
    </sheetView>
  </sheetViews>
  <sheetFormatPr defaultColWidth="9.00390625" defaultRowHeight="14.25"/>
  <cols>
    <col min="1" max="1" width="26.875" style="1" bestFit="1" customWidth="1"/>
    <col min="2" max="2" width="12.50390625" style="1" customWidth="1"/>
    <col min="3" max="3" width="1.4921875" style="1" customWidth="1"/>
    <col min="4" max="4" width="12.50390625" style="1" customWidth="1"/>
    <col min="5" max="5" width="1.4921875" style="1" customWidth="1"/>
    <col min="6" max="6" width="12.50390625" style="1" customWidth="1"/>
    <col min="7" max="7" width="1.4921875" style="1" customWidth="1"/>
    <col min="8" max="8" width="12.50390625" style="38" customWidth="1"/>
    <col min="9" max="9" width="1.4921875" style="1" customWidth="1"/>
    <col min="10" max="10" width="12.50390625" style="13" bestFit="1" customWidth="1"/>
    <col min="11" max="11" width="1.4921875" style="1" hidden="1" customWidth="1"/>
    <col min="12" max="12" width="10.875" style="38" hidden="1" customWidth="1"/>
    <col min="13" max="13" width="1.4921875" style="1" hidden="1" customWidth="1"/>
    <col min="14" max="14" width="12.50390625" style="13" hidden="1" customWidth="1"/>
    <col min="15" max="15" width="1.4921875" style="13" hidden="1" customWidth="1"/>
    <col min="16" max="16" width="11.625" style="3" hidden="1" customWidth="1"/>
    <col min="17" max="17" width="1.4921875" style="1" hidden="1" customWidth="1"/>
    <col min="18" max="18" width="12.50390625" style="3" hidden="1" customWidth="1"/>
    <col min="19" max="19" width="1.4921875" style="1" hidden="1" customWidth="1"/>
    <col min="20" max="20" width="11.625" style="3" hidden="1" customWidth="1"/>
    <col min="21" max="21" width="1.4921875" style="1" hidden="1" customWidth="1"/>
    <col min="22" max="22" width="12.50390625" style="3" hidden="1" customWidth="1"/>
    <col min="23" max="23" width="9.00390625" style="1" customWidth="1"/>
    <col min="24" max="24" width="10.50390625" style="1" bestFit="1" customWidth="1"/>
    <col min="25" max="16384" width="9.00390625" style="1" customWidth="1"/>
  </cols>
  <sheetData>
    <row r="1" spans="1:22" ht="15.75">
      <c r="A1" s="46" t="s">
        <v>60</v>
      </c>
      <c r="B1" s="46"/>
      <c r="C1" s="46"/>
      <c r="D1" s="46"/>
      <c r="E1" s="46"/>
      <c r="F1" s="46"/>
      <c r="G1" s="46"/>
      <c r="H1" s="46"/>
      <c r="I1" s="46"/>
      <c r="J1" s="47"/>
      <c r="K1" s="47"/>
      <c r="L1" s="47"/>
      <c r="M1" s="47"/>
      <c r="N1" s="47"/>
      <c r="O1" s="47"/>
      <c r="P1" s="47"/>
      <c r="Q1" s="47"/>
      <c r="R1" s="47"/>
      <c r="S1" s="47"/>
      <c r="T1" s="47"/>
      <c r="U1" s="47"/>
      <c r="V1" s="47"/>
    </row>
    <row r="2" spans="1:13" ht="15.75">
      <c r="A2" s="2"/>
      <c r="B2" s="2"/>
      <c r="C2" s="2"/>
      <c r="D2" s="2"/>
      <c r="E2" s="2"/>
      <c r="F2" s="2"/>
      <c r="G2" s="2"/>
      <c r="H2" s="34"/>
      <c r="I2" s="2"/>
      <c r="K2" s="2"/>
      <c r="L2" s="34"/>
      <c r="M2" s="2"/>
    </row>
    <row r="3" spans="1:22" ht="15.75">
      <c r="A3" s="4"/>
      <c r="B3" s="21" t="s">
        <v>4</v>
      </c>
      <c r="C3" s="44"/>
      <c r="D3" s="44" t="s">
        <v>62</v>
      </c>
      <c r="E3" s="44"/>
      <c r="F3" s="21" t="s">
        <v>4</v>
      </c>
      <c r="G3" s="44"/>
      <c r="H3" s="44" t="s">
        <v>5</v>
      </c>
      <c r="I3" s="44"/>
      <c r="J3" s="21" t="s">
        <v>4</v>
      </c>
      <c r="K3" s="4"/>
      <c r="L3" s="30" t="s">
        <v>5</v>
      </c>
      <c r="M3" s="30"/>
      <c r="N3" s="21" t="s">
        <v>4</v>
      </c>
      <c r="O3" s="4"/>
      <c r="P3" s="5" t="s">
        <v>5</v>
      </c>
      <c r="Q3" s="4"/>
      <c r="R3" s="21" t="s">
        <v>4</v>
      </c>
      <c r="S3" s="4"/>
      <c r="T3" s="5" t="s">
        <v>5</v>
      </c>
      <c r="U3" s="4"/>
      <c r="V3" s="5" t="s">
        <v>4</v>
      </c>
    </row>
    <row r="4" spans="1:22" ht="15.75">
      <c r="A4" s="4"/>
      <c r="B4" s="26" t="s">
        <v>61</v>
      </c>
      <c r="C4" s="44"/>
      <c r="D4" s="44" t="s">
        <v>58</v>
      </c>
      <c r="E4" s="44"/>
      <c r="F4" s="26" t="s">
        <v>58</v>
      </c>
      <c r="G4" s="44"/>
      <c r="H4" s="44" t="s">
        <v>55</v>
      </c>
      <c r="I4" s="44"/>
      <c r="J4" s="26" t="s">
        <v>55</v>
      </c>
      <c r="K4" s="4"/>
      <c r="L4" s="40" t="s">
        <v>46</v>
      </c>
      <c r="M4" s="26"/>
      <c r="N4" s="26" t="s">
        <v>46</v>
      </c>
      <c r="O4" s="4"/>
      <c r="P4" s="6" t="s">
        <v>14</v>
      </c>
      <c r="Q4" s="4"/>
      <c r="R4" s="26" t="s">
        <v>14</v>
      </c>
      <c r="S4" s="7"/>
      <c r="T4" s="6" t="s">
        <v>15</v>
      </c>
      <c r="U4" s="7"/>
      <c r="V4" s="6" t="s">
        <v>15</v>
      </c>
    </row>
    <row r="5" spans="1:22" ht="15.75">
      <c r="A5" s="4"/>
      <c r="B5" s="27" t="s">
        <v>6</v>
      </c>
      <c r="C5" s="27"/>
      <c r="D5" s="27" t="s">
        <v>6</v>
      </c>
      <c r="E5" s="27"/>
      <c r="F5" s="27" t="s">
        <v>6</v>
      </c>
      <c r="G5" s="27"/>
      <c r="H5" s="27" t="s">
        <v>6</v>
      </c>
      <c r="I5" s="27"/>
      <c r="J5" s="27" t="s">
        <v>6</v>
      </c>
      <c r="K5" s="4"/>
      <c r="L5" s="36" t="s">
        <v>6</v>
      </c>
      <c r="M5" s="36"/>
      <c r="N5" s="27" t="s">
        <v>6</v>
      </c>
      <c r="O5" s="4"/>
      <c r="P5" s="8" t="s">
        <v>6</v>
      </c>
      <c r="Q5" s="4"/>
      <c r="R5" s="27" t="s">
        <v>6</v>
      </c>
      <c r="S5" s="7"/>
      <c r="T5" s="8" t="s">
        <v>6</v>
      </c>
      <c r="U5" s="7"/>
      <c r="V5" s="8" t="s">
        <v>6</v>
      </c>
    </row>
    <row r="6" spans="1:24" ht="15.75">
      <c r="A6" s="10" t="s">
        <v>7</v>
      </c>
      <c r="B6" s="10"/>
      <c r="C6" s="10"/>
      <c r="D6" s="10"/>
      <c r="E6" s="10"/>
      <c r="F6" s="10"/>
      <c r="G6" s="10"/>
      <c r="H6" s="10"/>
      <c r="I6" s="10"/>
      <c r="J6" s="10"/>
      <c r="K6" s="10"/>
      <c r="L6" s="32"/>
      <c r="M6" s="10"/>
      <c r="N6" s="23"/>
      <c r="O6" s="4"/>
      <c r="P6" s="9"/>
      <c r="Q6" s="4"/>
      <c r="R6" s="23"/>
      <c r="S6" s="7"/>
      <c r="T6" s="9"/>
      <c r="U6" s="7"/>
      <c r="V6" s="9"/>
      <c r="X6" s="16"/>
    </row>
    <row r="7" spans="1:24" ht="15.75">
      <c r="A7" s="4" t="s">
        <v>8</v>
      </c>
      <c r="B7" s="13">
        <f>FLOOR(D7*1.05,1000)-19000</f>
        <v>200000</v>
      </c>
      <c r="C7" s="4"/>
      <c r="D7" s="30">
        <v>208989</v>
      </c>
      <c r="E7" s="4"/>
      <c r="F7" s="13">
        <f>FLOOR(H7*1.05,1000)-10000-5000</f>
        <v>192000</v>
      </c>
      <c r="G7" s="4"/>
      <c r="H7" s="30">
        <f>197161.2+200</f>
        <v>197361.2</v>
      </c>
      <c r="I7" s="4"/>
      <c r="J7" s="13">
        <f>FLOOR(L7*1.05,1000)+1000</f>
        <v>192000</v>
      </c>
      <c r="K7" s="30"/>
      <c r="L7" s="30">
        <v>182776.25</v>
      </c>
      <c r="M7" s="30"/>
      <c r="N7" s="13">
        <f>(142000*1.09)+20220</f>
        <v>175000</v>
      </c>
      <c r="O7" s="4"/>
      <c r="P7" s="3">
        <v>148920</v>
      </c>
      <c r="Q7" s="4"/>
      <c r="R7" s="13">
        <v>130000</v>
      </c>
      <c r="S7" s="4"/>
      <c r="T7" s="3">
        <v>146869</v>
      </c>
      <c r="U7" s="4"/>
      <c r="V7" s="3">
        <v>123000</v>
      </c>
      <c r="X7" s="17" t="s">
        <v>13</v>
      </c>
    </row>
    <row r="8" spans="1:24" ht="15.75">
      <c r="A8" s="4" t="s">
        <v>16</v>
      </c>
      <c r="B8" s="13">
        <v>20000</v>
      </c>
      <c r="C8" s="4"/>
      <c r="D8" s="30">
        <v>29087</v>
      </c>
      <c r="E8" s="4"/>
      <c r="F8" s="13">
        <v>28000</v>
      </c>
      <c r="G8" s="4"/>
      <c r="H8" s="30">
        <f>34315.35</f>
        <v>34315.35</v>
      </c>
      <c r="I8" s="4"/>
      <c r="J8" s="13">
        <v>33000</v>
      </c>
      <c r="K8" s="30"/>
      <c r="L8" s="30">
        <v>40540</v>
      </c>
      <c r="M8" s="30"/>
      <c r="N8" s="13">
        <v>37000</v>
      </c>
      <c r="O8" s="4"/>
      <c r="P8" s="3">
        <f>34704.2+627.5+227.5</f>
        <v>35559.2</v>
      </c>
      <c r="Q8" s="4"/>
      <c r="R8" s="13">
        <v>30000</v>
      </c>
      <c r="S8" s="4"/>
      <c r="T8" s="3">
        <v>27602</v>
      </c>
      <c r="U8" s="4"/>
      <c r="V8" s="3">
        <v>23000</v>
      </c>
      <c r="X8" s="18" t="s">
        <v>13</v>
      </c>
    </row>
    <row r="9" spans="1:24" ht="15.75">
      <c r="A9" s="14" t="s">
        <v>41</v>
      </c>
      <c r="B9" s="13">
        <f>60000</f>
        <v>60000</v>
      </c>
      <c r="C9" s="14"/>
      <c r="D9" s="39">
        <v>43728</v>
      </c>
      <c r="E9" s="14"/>
      <c r="F9" s="13">
        <f>72500+5000</f>
        <v>77500</v>
      </c>
      <c r="G9" s="14"/>
      <c r="H9" s="39">
        <f>789+228.58+6277.99+19059.35+29619.93+10357.83+2935.75+1853.19+11735.39+483.18</f>
        <v>83340.18999999999</v>
      </c>
      <c r="I9" s="14"/>
      <c r="J9" s="13">
        <f>72500+5000</f>
        <v>77500</v>
      </c>
      <c r="K9" s="39"/>
      <c r="L9" s="39">
        <v>73356</v>
      </c>
      <c r="M9" s="39"/>
      <c r="N9" s="13">
        <v>70000</v>
      </c>
      <c r="O9" s="4"/>
      <c r="P9" s="3">
        <v>62469</v>
      </c>
      <c r="Q9" s="4"/>
      <c r="R9" s="13">
        <v>54450</v>
      </c>
      <c r="S9" s="4"/>
      <c r="T9" s="3">
        <v>57803</v>
      </c>
      <c r="U9" s="4"/>
      <c r="V9" s="3">
        <v>53900</v>
      </c>
      <c r="X9" s="17"/>
    </row>
    <row r="10" spans="1:26" ht="15.75">
      <c r="A10" s="4" t="s">
        <v>56</v>
      </c>
      <c r="B10" s="13">
        <v>5000</v>
      </c>
      <c r="C10" s="4"/>
      <c r="D10" s="30">
        <f>396+1217</f>
        <v>1613</v>
      </c>
      <c r="E10" s="4"/>
      <c r="F10" s="13">
        <v>7500</v>
      </c>
      <c r="G10" s="4"/>
      <c r="H10" s="30">
        <f>6110.1+1781.64</f>
        <v>7891.740000000001</v>
      </c>
      <c r="I10" s="4"/>
      <c r="J10" s="13">
        <f>8000</f>
        <v>8000</v>
      </c>
      <c r="K10" s="30"/>
      <c r="L10" s="30">
        <v>9893</v>
      </c>
      <c r="M10" s="30"/>
      <c r="N10" s="13">
        <v>7000</v>
      </c>
      <c r="O10" s="4"/>
      <c r="P10" s="3">
        <v>7307</v>
      </c>
      <c r="Q10" s="4"/>
      <c r="R10" s="13">
        <v>6000</v>
      </c>
      <c r="S10" s="4"/>
      <c r="T10" s="3">
        <f>4466+2791+967</f>
        <v>8224</v>
      </c>
      <c r="U10" s="4"/>
      <c r="V10" s="3">
        <v>7700</v>
      </c>
      <c r="X10" s="17" t="s">
        <v>13</v>
      </c>
      <c r="Z10" s="19" t="s">
        <v>13</v>
      </c>
    </row>
    <row r="11" spans="1:24" ht="16.5" thickBot="1">
      <c r="A11" s="4" t="s">
        <v>18</v>
      </c>
      <c r="B11" s="20">
        <v>1500</v>
      </c>
      <c r="C11" s="4"/>
      <c r="D11" s="33">
        <v>0</v>
      </c>
      <c r="E11" s="4"/>
      <c r="F11" s="20">
        <v>1500</v>
      </c>
      <c r="G11" s="4"/>
      <c r="H11" s="33">
        <f>732.5+345.77</f>
        <v>1078.27</v>
      </c>
      <c r="I11" s="4"/>
      <c r="J11" s="20">
        <v>1500</v>
      </c>
      <c r="K11" s="30"/>
      <c r="L11" s="33">
        <v>1596</v>
      </c>
      <c r="M11" s="33"/>
      <c r="N11" s="20">
        <v>2000</v>
      </c>
      <c r="O11" s="4"/>
      <c r="P11" s="15">
        <v>750</v>
      </c>
      <c r="Q11" s="4"/>
      <c r="R11" s="20">
        <v>0</v>
      </c>
      <c r="S11" s="4"/>
      <c r="T11" s="15">
        <v>100</v>
      </c>
      <c r="U11" s="4"/>
      <c r="V11" s="15">
        <v>0</v>
      </c>
      <c r="X11" s="17"/>
    </row>
    <row r="12" spans="1:26" ht="15.75">
      <c r="A12" s="4"/>
      <c r="B12" s="13">
        <f>SUM(B7:B11)</f>
        <v>286500</v>
      </c>
      <c r="C12" s="4"/>
      <c r="D12" s="37">
        <f>SUM(D7:D11)</f>
        <v>283417</v>
      </c>
      <c r="E12" s="4"/>
      <c r="F12" s="13">
        <f>SUM(F7:F11)</f>
        <v>306500</v>
      </c>
      <c r="G12" s="4"/>
      <c r="H12" s="37">
        <f>SUM(H7:H11)</f>
        <v>323986.75</v>
      </c>
      <c r="I12" s="4"/>
      <c r="J12" s="13">
        <f>SUM(J7:J11)</f>
        <v>312000</v>
      </c>
      <c r="K12" s="30"/>
      <c r="L12" s="30">
        <f>SUM(L7:L11)</f>
        <v>308161.25</v>
      </c>
      <c r="M12" s="30"/>
      <c r="N12" s="13">
        <f>SUM(N7:N11)</f>
        <v>291000</v>
      </c>
      <c r="O12" s="4"/>
      <c r="P12" s="3">
        <f>SUM(P7:P11)</f>
        <v>255005.2</v>
      </c>
      <c r="Q12" s="4"/>
      <c r="R12" s="13">
        <f>SUM(R7:R11)</f>
        <v>220450</v>
      </c>
      <c r="S12" s="4"/>
      <c r="T12" s="3">
        <f>SUM(T7:T11)</f>
        <v>240598</v>
      </c>
      <c r="U12" s="4"/>
      <c r="V12" s="3">
        <f>SUM(V7:V11)</f>
        <v>207600</v>
      </c>
      <c r="X12" s="17"/>
      <c r="Z12" s="3"/>
    </row>
    <row r="13" spans="1:24" ht="15.75">
      <c r="A13" s="10" t="s">
        <v>9</v>
      </c>
      <c r="B13" s="13"/>
      <c r="C13" s="10"/>
      <c r="D13" s="32"/>
      <c r="E13" s="10"/>
      <c r="F13" s="13"/>
      <c r="G13" s="10"/>
      <c r="H13" s="32"/>
      <c r="I13" s="10"/>
      <c r="K13" s="32"/>
      <c r="L13" s="32"/>
      <c r="M13" s="32"/>
      <c r="O13" s="12"/>
      <c r="Q13" s="4"/>
      <c r="R13" s="13"/>
      <c r="S13" s="4"/>
      <c r="U13" s="4"/>
      <c r="X13" s="17"/>
    </row>
    <row r="14" spans="1:24" ht="16.5" thickBot="1">
      <c r="A14" s="4" t="s">
        <v>42</v>
      </c>
      <c r="B14" s="20">
        <f>CEILING(B9/1.37,1000)</f>
        <v>44000</v>
      </c>
      <c r="C14" s="4"/>
      <c r="D14" s="33">
        <v>24347</v>
      </c>
      <c r="E14" s="4"/>
      <c r="F14" s="20">
        <f>CEILING(F9/1.37,1000)-3500</f>
        <v>53500</v>
      </c>
      <c r="G14" s="4"/>
      <c r="H14" s="33">
        <f>506.55+3795.08+65+43+5875.97+299.2+6460.15+16537.09+4891.92+1788.99+1425.55+7266.24+6335.58-9.22</f>
        <v>55281.1</v>
      </c>
      <c r="I14" s="4"/>
      <c r="J14" s="20">
        <f>CEILING(J9/1.37,1000)-1500</f>
        <v>55500</v>
      </c>
      <c r="K14" s="30"/>
      <c r="L14" s="33">
        <v>53993</v>
      </c>
      <c r="M14" s="30"/>
      <c r="N14" s="20">
        <v>51000</v>
      </c>
      <c r="O14" s="4"/>
      <c r="P14" s="15">
        <v>43882</v>
      </c>
      <c r="Q14" s="4"/>
      <c r="R14" s="20">
        <v>38000</v>
      </c>
      <c r="S14" s="4"/>
      <c r="T14" s="15">
        <v>48500</v>
      </c>
      <c r="U14" s="11"/>
      <c r="V14" s="15">
        <v>36800</v>
      </c>
      <c r="X14" s="17" t="s">
        <v>13</v>
      </c>
    </row>
    <row r="15" spans="1:24" ht="15.75">
      <c r="A15" s="4"/>
      <c r="B15" s="13">
        <f>SUM(B14:B14)</f>
        <v>44000</v>
      </c>
      <c r="C15" s="4"/>
      <c r="D15" s="37">
        <f>SUM(D14:D14)</f>
        <v>24347</v>
      </c>
      <c r="E15" s="4"/>
      <c r="F15" s="13">
        <f>SUM(F14:F14)</f>
        <v>53500</v>
      </c>
      <c r="G15" s="4"/>
      <c r="H15" s="37">
        <f>SUM(H14:H14)</f>
        <v>55281.1</v>
      </c>
      <c r="I15" s="4"/>
      <c r="J15" s="13">
        <f>SUM(J14:J14)</f>
        <v>55500</v>
      </c>
      <c r="K15" s="30"/>
      <c r="L15" s="37">
        <f>SUM(L14:L14)</f>
        <v>53993</v>
      </c>
      <c r="M15" s="30"/>
      <c r="N15" s="13">
        <f>SUM(N14:N14)</f>
        <v>51000</v>
      </c>
      <c r="O15" s="4"/>
      <c r="P15" s="3">
        <f>SUM(P14:P14)</f>
        <v>43882</v>
      </c>
      <c r="Q15" s="4"/>
      <c r="R15" s="13">
        <f>SUM(R14:R14)</f>
        <v>38000</v>
      </c>
      <c r="S15" s="4"/>
      <c r="T15" s="3">
        <f>SUM(T14:T14)</f>
        <v>48500</v>
      </c>
      <c r="U15" s="4"/>
      <c r="V15" s="3">
        <f>SUM(V14:V14)</f>
        <v>36800</v>
      </c>
      <c r="X15" s="17"/>
    </row>
    <row r="16" spans="1:24" ht="15.75">
      <c r="A16" s="10" t="s">
        <v>19</v>
      </c>
      <c r="B16" s="13"/>
      <c r="C16" s="10"/>
      <c r="D16" s="32"/>
      <c r="E16" s="10"/>
      <c r="F16" s="13"/>
      <c r="G16" s="10"/>
      <c r="H16" s="32"/>
      <c r="I16" s="10"/>
      <c r="K16" s="32"/>
      <c r="L16" s="32"/>
      <c r="M16" s="32"/>
      <c r="O16" s="10"/>
      <c r="Q16" s="4"/>
      <c r="R16" s="13"/>
      <c r="S16" s="4"/>
      <c r="U16" s="11"/>
      <c r="X16" s="17"/>
    </row>
    <row r="17" spans="1:24" ht="15.75">
      <c r="A17" s="4" t="s">
        <v>1</v>
      </c>
      <c r="B17" s="13">
        <f>85000+2600</f>
        <v>87600</v>
      </c>
      <c r="C17" s="4"/>
      <c r="D17" s="30">
        <v>99634</v>
      </c>
      <c r="E17" s="4"/>
      <c r="F17" s="13">
        <v>101000</v>
      </c>
      <c r="G17" s="4"/>
      <c r="H17" s="30">
        <v>84685.85</v>
      </c>
      <c r="I17" s="4"/>
      <c r="J17" s="13">
        <v>85000</v>
      </c>
      <c r="K17" s="30"/>
      <c r="L17" s="13">
        <v>77809.57</v>
      </c>
      <c r="M17" s="30"/>
      <c r="N17" s="13">
        <v>78500</v>
      </c>
      <c r="O17" s="4"/>
      <c r="P17" s="3">
        <v>79751</v>
      </c>
      <c r="Q17" s="4"/>
      <c r="R17" s="13">
        <v>72000</v>
      </c>
      <c r="S17" s="4"/>
      <c r="T17" s="3">
        <v>73155</v>
      </c>
      <c r="U17" s="11"/>
      <c r="V17" s="3">
        <v>70000</v>
      </c>
      <c r="X17" s="17" t="s">
        <v>13</v>
      </c>
    </row>
    <row r="18" spans="1:24" ht="15.75">
      <c r="A18" s="4" t="s">
        <v>20</v>
      </c>
      <c r="B18" s="13">
        <v>0</v>
      </c>
      <c r="C18" s="4"/>
      <c r="D18" s="30">
        <v>561</v>
      </c>
      <c r="E18" s="4"/>
      <c r="F18" s="13">
        <v>0</v>
      </c>
      <c r="G18" s="4"/>
      <c r="H18" s="30">
        <v>0</v>
      </c>
      <c r="I18" s="4"/>
      <c r="J18" s="13">
        <v>1000</v>
      </c>
      <c r="K18" s="30"/>
      <c r="L18" s="13">
        <v>900</v>
      </c>
      <c r="M18" s="30"/>
      <c r="N18" s="13">
        <v>2000</v>
      </c>
      <c r="O18" s="4"/>
      <c r="P18" s="3">
        <f>1910+335-795</f>
        <v>1450</v>
      </c>
      <c r="Q18" s="4"/>
      <c r="R18" s="13">
        <v>2000</v>
      </c>
      <c r="S18" s="4"/>
      <c r="T18" s="3">
        <v>2015</v>
      </c>
      <c r="U18" s="11"/>
      <c r="V18" s="3">
        <v>2000</v>
      </c>
      <c r="X18" s="17"/>
    </row>
    <row r="19" spans="1:24" ht="16.5" thickBot="1">
      <c r="A19" s="4" t="s">
        <v>21</v>
      </c>
      <c r="B19" s="20">
        <v>15000</v>
      </c>
      <c r="C19" s="4"/>
      <c r="D19" s="33">
        <v>11413</v>
      </c>
      <c r="E19" s="4"/>
      <c r="F19" s="20">
        <v>15000</v>
      </c>
      <c r="G19" s="4"/>
      <c r="H19" s="33">
        <v>26165.35</v>
      </c>
      <c r="I19" s="4"/>
      <c r="J19" s="20">
        <v>31000</v>
      </c>
      <c r="K19" s="30"/>
      <c r="L19" s="20">
        <v>25588.65</v>
      </c>
      <c r="M19" s="30"/>
      <c r="N19" s="20">
        <v>23000</v>
      </c>
      <c r="O19" s="4"/>
      <c r="P19" s="15">
        <v>13384</v>
      </c>
      <c r="Q19" s="4"/>
      <c r="R19" s="20">
        <v>12000</v>
      </c>
      <c r="S19" s="4"/>
      <c r="T19" s="15">
        <v>11515</v>
      </c>
      <c r="U19" s="4"/>
      <c r="V19" s="15">
        <v>12500</v>
      </c>
      <c r="X19" s="17" t="s">
        <v>13</v>
      </c>
    </row>
    <row r="20" spans="1:24" ht="15.75">
      <c r="A20" s="4"/>
      <c r="B20" s="13">
        <f>SUM(B16:B19)</f>
        <v>102600</v>
      </c>
      <c r="C20" s="4"/>
      <c r="D20" s="30">
        <f>SUM(D17:D19)</f>
        <v>111608</v>
      </c>
      <c r="E20" s="4"/>
      <c r="F20" s="13">
        <f>SUM(F16:F19)</f>
        <v>116000</v>
      </c>
      <c r="G20" s="4"/>
      <c r="H20" s="30">
        <f>SUM(H17:H19)</f>
        <v>110851.20000000001</v>
      </c>
      <c r="I20" s="4"/>
      <c r="J20" s="13">
        <f>SUM(J16:J19)</f>
        <v>117000</v>
      </c>
      <c r="K20" s="30"/>
      <c r="L20" s="13">
        <f>SUM(L16:L19)</f>
        <v>104298.22</v>
      </c>
      <c r="M20" s="30"/>
      <c r="N20" s="13">
        <f>SUM(N16:N19)</f>
        <v>103500</v>
      </c>
      <c r="O20" s="4"/>
      <c r="P20" s="3">
        <f>SUM(P16:P19)</f>
        <v>94585</v>
      </c>
      <c r="Q20" s="4"/>
      <c r="R20" s="13">
        <f>SUM(R16:R19)</f>
        <v>86000</v>
      </c>
      <c r="S20" s="4"/>
      <c r="T20" s="3">
        <f>SUM(T16:T19)</f>
        <v>86685</v>
      </c>
      <c r="U20" s="4"/>
      <c r="V20" s="3">
        <f>SUM(V16:V19)</f>
        <v>84500</v>
      </c>
      <c r="X20" s="17"/>
    </row>
    <row r="21" spans="1:24" ht="15.75">
      <c r="A21" s="10" t="s">
        <v>10</v>
      </c>
      <c r="B21" s="13"/>
      <c r="C21" s="10"/>
      <c r="D21" s="32"/>
      <c r="E21" s="10"/>
      <c r="F21" s="13"/>
      <c r="G21" s="10"/>
      <c r="H21" s="32"/>
      <c r="I21" s="10"/>
      <c r="K21" s="32"/>
      <c r="L21" s="13"/>
      <c r="M21" s="32"/>
      <c r="O21" s="10"/>
      <c r="Q21" s="4"/>
      <c r="R21" s="13"/>
      <c r="S21" s="4"/>
      <c r="U21" s="4"/>
      <c r="X21" s="17"/>
    </row>
    <row r="22" spans="1:24" ht="15.75">
      <c r="A22" s="4" t="s">
        <v>57</v>
      </c>
      <c r="B22" s="13">
        <v>3000</v>
      </c>
      <c r="C22" s="4"/>
      <c r="D22" s="30">
        <v>3062</v>
      </c>
      <c r="E22" s="4"/>
      <c r="F22" s="13">
        <v>3000</v>
      </c>
      <c r="G22" s="4"/>
      <c r="H22" s="30">
        <v>3062</v>
      </c>
      <c r="I22" s="4"/>
      <c r="J22" s="13">
        <v>2500</v>
      </c>
      <c r="K22" s="30"/>
      <c r="L22" s="13">
        <v>0</v>
      </c>
      <c r="M22" s="30"/>
      <c r="N22" s="13">
        <v>0</v>
      </c>
      <c r="O22" s="4"/>
      <c r="P22" s="3">
        <v>213</v>
      </c>
      <c r="Q22" s="4"/>
      <c r="R22" s="13">
        <v>1500</v>
      </c>
      <c r="S22" s="4"/>
      <c r="T22" s="3">
        <v>0</v>
      </c>
      <c r="U22" s="4"/>
      <c r="V22" s="3">
        <v>3000</v>
      </c>
      <c r="X22" s="17" t="s">
        <v>13</v>
      </c>
    </row>
    <row r="23" spans="1:24" ht="15.75" hidden="1">
      <c r="A23" s="4" t="s">
        <v>23</v>
      </c>
      <c r="B23" s="13">
        <v>0</v>
      </c>
      <c r="C23" s="4"/>
      <c r="D23" s="30">
        <v>0</v>
      </c>
      <c r="E23" s="4"/>
      <c r="F23" s="13">
        <v>0</v>
      </c>
      <c r="G23" s="4"/>
      <c r="H23" s="30">
        <v>0</v>
      </c>
      <c r="I23" s="4"/>
      <c r="J23" s="13">
        <v>0</v>
      </c>
      <c r="K23" s="30"/>
      <c r="L23" s="13">
        <v>3630</v>
      </c>
      <c r="M23" s="30"/>
      <c r="N23" s="13">
        <v>7500</v>
      </c>
      <c r="O23" s="4"/>
      <c r="P23" s="3">
        <v>3630</v>
      </c>
      <c r="Q23" s="4"/>
      <c r="R23" s="13">
        <v>3630</v>
      </c>
      <c r="S23" s="4"/>
      <c r="T23" s="3">
        <v>3630</v>
      </c>
      <c r="U23" s="4"/>
      <c r="V23" s="3">
        <v>3630</v>
      </c>
      <c r="X23" s="17"/>
    </row>
    <row r="24" spans="1:24" ht="15.75">
      <c r="A24" s="4" t="s">
        <v>24</v>
      </c>
      <c r="B24" s="13">
        <v>4000</v>
      </c>
      <c r="C24" s="4"/>
      <c r="D24" s="30">
        <v>3775</v>
      </c>
      <c r="E24" s="4"/>
      <c r="F24" s="13">
        <v>4000</v>
      </c>
      <c r="G24" s="4"/>
      <c r="H24" s="30">
        <v>3873.95</v>
      </c>
      <c r="I24" s="4"/>
      <c r="J24" s="13">
        <v>4500</v>
      </c>
      <c r="K24" s="30"/>
      <c r="L24" s="13">
        <v>6804.39</v>
      </c>
      <c r="M24" s="30"/>
      <c r="N24" s="13">
        <v>6500</v>
      </c>
      <c r="O24" s="4"/>
      <c r="P24" s="3">
        <v>5661</v>
      </c>
      <c r="Q24" s="4"/>
      <c r="R24" s="13">
        <v>4000</v>
      </c>
      <c r="S24" s="4"/>
      <c r="T24" s="3">
        <v>3796</v>
      </c>
      <c r="U24" s="4"/>
      <c r="V24" s="3">
        <v>4000</v>
      </c>
      <c r="X24" s="17"/>
    </row>
    <row r="25" spans="1:24" ht="15.75">
      <c r="A25" s="4" t="s">
        <v>0</v>
      </c>
      <c r="B25" s="13">
        <v>5000</v>
      </c>
      <c r="C25" s="4"/>
      <c r="D25" s="30">
        <v>5121</v>
      </c>
      <c r="E25" s="4"/>
      <c r="F25" s="13">
        <v>4500</v>
      </c>
      <c r="G25" s="4"/>
      <c r="H25" s="30">
        <v>4701.96</v>
      </c>
      <c r="I25" s="4"/>
      <c r="J25" s="13">
        <v>3500</v>
      </c>
      <c r="K25" s="30"/>
      <c r="L25" s="13">
        <v>4872.64</v>
      </c>
      <c r="M25" s="30"/>
      <c r="N25" s="13">
        <v>4000</v>
      </c>
      <c r="O25" s="4"/>
      <c r="P25" s="3">
        <v>2760</v>
      </c>
      <c r="Q25" s="4"/>
      <c r="R25" s="13">
        <v>4250</v>
      </c>
      <c r="S25" s="4"/>
      <c r="T25" s="3">
        <v>5231</v>
      </c>
      <c r="U25" s="4"/>
      <c r="V25" s="3">
        <v>4250</v>
      </c>
      <c r="X25" s="17"/>
    </row>
    <row r="26" spans="1:24" ht="15.75">
      <c r="A26" s="4" t="s">
        <v>11</v>
      </c>
      <c r="B26" s="13">
        <v>2500</v>
      </c>
      <c r="C26" s="4"/>
      <c r="D26" s="30">
        <v>1711</v>
      </c>
      <c r="E26" s="4"/>
      <c r="F26" s="13">
        <v>5000</v>
      </c>
      <c r="G26" s="4"/>
      <c r="H26" s="30">
        <v>5282.34</v>
      </c>
      <c r="I26" s="4"/>
      <c r="J26" s="13">
        <v>6500</v>
      </c>
      <c r="K26" s="30"/>
      <c r="L26" s="13">
        <v>6492.12</v>
      </c>
      <c r="M26" s="30"/>
      <c r="N26" s="13">
        <v>6500</v>
      </c>
      <c r="O26" s="4"/>
      <c r="P26" s="3">
        <v>4556</v>
      </c>
      <c r="Q26" s="4"/>
      <c r="R26" s="13">
        <v>3000</v>
      </c>
      <c r="S26" s="4"/>
      <c r="T26" s="3">
        <v>2850</v>
      </c>
      <c r="U26" s="4"/>
      <c r="V26" s="3">
        <v>1650</v>
      </c>
      <c r="X26" s="17"/>
    </row>
    <row r="27" spans="1:27" ht="15.75">
      <c r="A27" s="4" t="s">
        <v>25</v>
      </c>
      <c r="B27" s="13">
        <v>11000</v>
      </c>
      <c r="C27" s="4"/>
      <c r="D27" s="30">
        <v>11018</v>
      </c>
      <c r="E27" s="4"/>
      <c r="F27" s="13">
        <v>11000</v>
      </c>
      <c r="G27" s="4"/>
      <c r="H27" s="30">
        <v>11824.89</v>
      </c>
      <c r="I27" s="4"/>
      <c r="J27" s="13">
        <v>11000</v>
      </c>
      <c r="K27" s="30"/>
      <c r="L27" s="13">
        <v>10630.65</v>
      </c>
      <c r="M27" s="30"/>
      <c r="N27" s="13">
        <v>7500</v>
      </c>
      <c r="O27" s="4"/>
      <c r="P27" s="3">
        <v>11297</v>
      </c>
      <c r="Q27" s="4"/>
      <c r="R27" s="13">
        <v>17500</v>
      </c>
      <c r="S27" s="4"/>
      <c r="T27" s="3">
        <v>17657</v>
      </c>
      <c r="U27" s="4"/>
      <c r="V27" s="3">
        <v>13000</v>
      </c>
      <c r="X27" s="18" t="s">
        <v>13</v>
      </c>
      <c r="AA27" s="1" t="s">
        <v>13</v>
      </c>
    </row>
    <row r="28" spans="1:24" ht="15.75">
      <c r="A28" s="4" t="s">
        <v>26</v>
      </c>
      <c r="B28" s="13">
        <v>2000</v>
      </c>
      <c r="C28" s="4"/>
      <c r="D28" s="30">
        <v>2024</v>
      </c>
      <c r="E28" s="4"/>
      <c r="F28" s="13">
        <v>2000</v>
      </c>
      <c r="G28" s="4"/>
      <c r="H28" s="30">
        <v>3779.03</v>
      </c>
      <c r="I28" s="4"/>
      <c r="J28" s="13">
        <f>3250-1000</f>
        <v>2250</v>
      </c>
      <c r="K28" s="30"/>
      <c r="L28" s="13">
        <v>4241.24</v>
      </c>
      <c r="M28" s="30"/>
      <c r="N28" s="13">
        <v>1500</v>
      </c>
      <c r="O28" s="4"/>
      <c r="P28" s="3">
        <v>1766</v>
      </c>
      <c r="Q28" s="4"/>
      <c r="R28" s="13">
        <v>1250</v>
      </c>
      <c r="S28" s="4"/>
      <c r="T28" s="3">
        <v>1352</v>
      </c>
      <c r="U28" s="4"/>
      <c r="V28" s="3">
        <v>1750</v>
      </c>
      <c r="X28" s="18"/>
    </row>
    <row r="29" spans="1:24" ht="16.5" thickBot="1">
      <c r="A29" s="4" t="s">
        <v>2</v>
      </c>
      <c r="B29" s="20">
        <v>10000</v>
      </c>
      <c r="C29" s="4"/>
      <c r="D29" s="33">
        <v>9224</v>
      </c>
      <c r="E29" s="4"/>
      <c r="F29" s="20">
        <v>10000</v>
      </c>
      <c r="G29" s="4"/>
      <c r="H29" s="33">
        <v>14112.95</v>
      </c>
      <c r="I29" s="4"/>
      <c r="J29" s="20">
        <v>7500</v>
      </c>
      <c r="K29" s="30"/>
      <c r="L29" s="20">
        <v>7224.45</v>
      </c>
      <c r="M29" s="30"/>
      <c r="N29" s="20">
        <v>6500</v>
      </c>
      <c r="O29" s="4"/>
      <c r="P29" s="15">
        <v>8846</v>
      </c>
      <c r="Q29" s="4"/>
      <c r="R29" s="20">
        <v>5000</v>
      </c>
      <c r="S29" s="4"/>
      <c r="T29" s="15">
        <v>8445</v>
      </c>
      <c r="U29" s="4"/>
      <c r="V29" s="15">
        <v>5000</v>
      </c>
      <c r="X29" s="17"/>
    </row>
    <row r="30" spans="1:24" ht="15.75" customHeight="1">
      <c r="A30" s="4"/>
      <c r="B30" s="13">
        <f>SUM(B21:B29)</f>
        <v>37500</v>
      </c>
      <c r="C30" s="4"/>
      <c r="D30" s="30">
        <f>SUM(D22:D29)</f>
        <v>35935</v>
      </c>
      <c r="E30" s="4"/>
      <c r="F30" s="13">
        <f>SUM(F21:F29)</f>
        <v>39500</v>
      </c>
      <c r="G30" s="4"/>
      <c r="H30" s="30">
        <f>SUM(H22:H29)</f>
        <v>46637.119999999995</v>
      </c>
      <c r="I30" s="4"/>
      <c r="J30" s="13">
        <f>SUM(J21:J29)</f>
        <v>37750</v>
      </c>
      <c r="K30" s="30"/>
      <c r="L30" s="13">
        <f>SUM(L21:L29)</f>
        <v>43895.48999999999</v>
      </c>
      <c r="M30" s="30"/>
      <c r="N30" s="13">
        <f>SUM(N21:N29)</f>
        <v>40000</v>
      </c>
      <c r="O30" s="4"/>
      <c r="P30" s="3">
        <f>SUM(P21:P29)</f>
        <v>38729</v>
      </c>
      <c r="Q30" s="4"/>
      <c r="R30" s="13">
        <f>SUM(R21:R29)</f>
        <v>40130</v>
      </c>
      <c r="S30" s="4"/>
      <c r="T30" s="3">
        <f>SUM(T21:T29)</f>
        <v>42961</v>
      </c>
      <c r="U30" s="4"/>
      <c r="V30" s="3">
        <f>SUM(V21:V29)</f>
        <v>36280</v>
      </c>
      <c r="X30" s="17"/>
    </row>
    <row r="31" spans="1:24" ht="15.75">
      <c r="A31" s="10" t="s">
        <v>27</v>
      </c>
      <c r="B31" s="13"/>
      <c r="C31" s="10"/>
      <c r="D31" s="32"/>
      <c r="E31" s="10"/>
      <c r="F31" s="13"/>
      <c r="G31" s="10"/>
      <c r="H31" s="32"/>
      <c r="I31" s="10"/>
      <c r="K31" s="32"/>
      <c r="L31" s="32"/>
      <c r="M31" s="32"/>
      <c r="O31" s="10"/>
      <c r="Q31" s="4"/>
      <c r="R31" s="13"/>
      <c r="S31" s="4"/>
      <c r="U31" s="4"/>
      <c r="X31" s="17"/>
    </row>
    <row r="32" spans="1:24" ht="16.5" thickBot="1">
      <c r="A32" s="4" t="s">
        <v>50</v>
      </c>
      <c r="B32" s="24">
        <v>49000</v>
      </c>
      <c r="C32" s="4"/>
      <c r="D32" s="30">
        <f>27860+17415+2629</f>
        <v>47904</v>
      </c>
      <c r="E32" s="4"/>
      <c r="F32" s="24">
        <v>49000</v>
      </c>
      <c r="G32" s="4"/>
      <c r="H32" s="30">
        <f>20030.92+27314+2288.96</f>
        <v>49633.88</v>
      </c>
      <c r="I32" s="4"/>
      <c r="J32" s="24">
        <v>45000</v>
      </c>
      <c r="K32" s="41"/>
      <c r="L32" s="24">
        <v>43697</v>
      </c>
      <c r="M32" s="41"/>
      <c r="N32" s="24">
        <v>40000</v>
      </c>
      <c r="O32" s="43"/>
      <c r="P32" s="15">
        <f>5922.56+24166.73+440.74</f>
        <v>30530.030000000002</v>
      </c>
      <c r="Q32" s="4"/>
      <c r="R32" s="20">
        <v>23500</v>
      </c>
      <c r="S32" s="4"/>
      <c r="T32" s="15">
        <v>17436</v>
      </c>
      <c r="U32" s="4"/>
      <c r="V32" s="15">
        <v>17000</v>
      </c>
      <c r="X32" s="17"/>
    </row>
    <row r="33" spans="1:24" ht="16.5" thickBot="1">
      <c r="A33" s="4" t="s">
        <v>53</v>
      </c>
      <c r="B33" s="20">
        <v>3630</v>
      </c>
      <c r="C33" s="4"/>
      <c r="D33" s="33">
        <v>2723</v>
      </c>
      <c r="E33" s="4"/>
      <c r="F33" s="20">
        <v>3630</v>
      </c>
      <c r="G33" s="4"/>
      <c r="H33" s="33">
        <v>3630</v>
      </c>
      <c r="I33" s="4"/>
      <c r="J33" s="20">
        <v>3630</v>
      </c>
      <c r="K33" s="30"/>
      <c r="L33" s="20">
        <v>0</v>
      </c>
      <c r="M33" s="30"/>
      <c r="N33" s="20">
        <v>0</v>
      </c>
      <c r="O33" s="4"/>
      <c r="P33" s="42"/>
      <c r="Q33" s="4"/>
      <c r="R33" s="24"/>
      <c r="S33" s="4"/>
      <c r="T33" s="42"/>
      <c r="U33" s="4"/>
      <c r="V33" s="42"/>
      <c r="X33" s="17"/>
    </row>
    <row r="34" spans="1:24" ht="15.75">
      <c r="A34" s="4"/>
      <c r="B34" s="13">
        <f>SUM(B32:B33)</f>
        <v>52630</v>
      </c>
      <c r="C34" s="4"/>
      <c r="D34" s="30">
        <f>SUM(D32:D33)</f>
        <v>50627</v>
      </c>
      <c r="E34" s="4"/>
      <c r="F34" s="13">
        <f>SUM(F32:F33)</f>
        <v>52630</v>
      </c>
      <c r="G34" s="4"/>
      <c r="H34" s="30">
        <f>SUM(H32:H33)</f>
        <v>53263.88</v>
      </c>
      <c r="I34" s="4"/>
      <c r="J34" s="13">
        <f>SUM(J32:J33)</f>
        <v>48630</v>
      </c>
      <c r="K34" s="30"/>
      <c r="L34" s="13">
        <f>SUM(L32:L33)</f>
        <v>43697</v>
      </c>
      <c r="M34" s="30"/>
      <c r="N34" s="13">
        <f>SUM(N32:N33)</f>
        <v>40000</v>
      </c>
      <c r="O34" s="4"/>
      <c r="P34" s="3">
        <f>SUM(P31:P32)</f>
        <v>30530.030000000002</v>
      </c>
      <c r="Q34" s="4"/>
      <c r="R34" s="13">
        <f>SUM(R31:R32)</f>
        <v>23500</v>
      </c>
      <c r="S34" s="4"/>
      <c r="T34" s="3">
        <f>SUM(T31:T32)</f>
        <v>17436</v>
      </c>
      <c r="U34" s="4"/>
      <c r="V34" s="3">
        <f>SUM(V31:V32)</f>
        <v>17000</v>
      </c>
      <c r="X34" s="17"/>
    </row>
    <row r="35" spans="1:24" ht="15.75">
      <c r="A35" s="10" t="s">
        <v>28</v>
      </c>
      <c r="B35" s="13"/>
      <c r="C35" s="10"/>
      <c r="D35" s="32"/>
      <c r="E35" s="10"/>
      <c r="F35" s="13"/>
      <c r="G35" s="10"/>
      <c r="H35" s="32"/>
      <c r="I35" s="10"/>
      <c r="K35" s="32"/>
      <c r="L35" s="13"/>
      <c r="M35" s="32"/>
      <c r="O35" s="10"/>
      <c r="Q35" s="4"/>
      <c r="R35" s="13"/>
      <c r="S35" s="4"/>
      <c r="U35" s="4"/>
      <c r="X35" s="17"/>
    </row>
    <row r="36" spans="1:24" ht="15.75">
      <c r="A36" s="4" t="s">
        <v>29</v>
      </c>
      <c r="B36" s="13">
        <v>24000</v>
      </c>
      <c r="C36" s="4"/>
      <c r="D36" s="30">
        <v>25891</v>
      </c>
      <c r="E36" s="4"/>
      <c r="F36" s="13">
        <v>24000</v>
      </c>
      <c r="G36" s="4"/>
      <c r="H36" s="30">
        <v>25807.11</v>
      </c>
      <c r="I36" s="4"/>
      <c r="J36" s="13">
        <v>24500</v>
      </c>
      <c r="K36" s="30"/>
      <c r="L36" s="13">
        <v>24032.3</v>
      </c>
      <c r="M36" s="30"/>
      <c r="N36" s="13">
        <v>25000</v>
      </c>
      <c r="O36" s="4"/>
      <c r="P36" s="3">
        <v>20061</v>
      </c>
      <c r="Q36" s="4"/>
      <c r="R36" s="13">
        <v>20000</v>
      </c>
      <c r="S36" s="4"/>
      <c r="T36" s="3">
        <v>18364</v>
      </c>
      <c r="U36" s="4"/>
      <c r="V36" s="3">
        <v>16250</v>
      </c>
      <c r="X36" s="17"/>
    </row>
    <row r="37" spans="1:24" ht="15.75">
      <c r="A37" s="4" t="s">
        <v>30</v>
      </c>
      <c r="B37" s="13">
        <v>100</v>
      </c>
      <c r="C37" s="4"/>
      <c r="D37" s="30">
        <v>65</v>
      </c>
      <c r="E37" s="4"/>
      <c r="F37" s="13">
        <v>100</v>
      </c>
      <c r="G37" s="4"/>
      <c r="H37" s="30">
        <v>70</v>
      </c>
      <c r="I37" s="4"/>
      <c r="J37" s="13">
        <v>150</v>
      </c>
      <c r="K37" s="30"/>
      <c r="L37" s="13">
        <v>147.5</v>
      </c>
      <c r="M37" s="30"/>
      <c r="N37" s="13">
        <v>280</v>
      </c>
      <c r="O37" s="4"/>
      <c r="P37" s="3">
        <v>603</v>
      </c>
      <c r="Q37" s="4"/>
      <c r="R37" s="13">
        <v>500</v>
      </c>
      <c r="S37" s="4"/>
      <c r="T37" s="3">
        <v>308</v>
      </c>
      <c r="U37" s="4"/>
      <c r="V37" s="3">
        <v>150</v>
      </c>
      <c r="X37" s="17"/>
    </row>
    <row r="38" spans="1:24" ht="16.5" thickBot="1">
      <c r="A38" s="4" t="s">
        <v>31</v>
      </c>
      <c r="B38" s="20">
        <v>500</v>
      </c>
      <c r="C38" s="4"/>
      <c r="D38" s="33">
        <v>528</v>
      </c>
      <c r="E38" s="4"/>
      <c r="F38" s="20">
        <v>500</v>
      </c>
      <c r="G38" s="4"/>
      <c r="H38" s="33">
        <v>910</v>
      </c>
      <c r="I38" s="4"/>
      <c r="J38" s="20">
        <v>500</v>
      </c>
      <c r="K38" s="30"/>
      <c r="L38" s="20">
        <v>851.88</v>
      </c>
      <c r="M38" s="30"/>
      <c r="N38" s="20">
        <v>1000</v>
      </c>
      <c r="O38" s="4"/>
      <c r="P38" s="15">
        <v>2157</v>
      </c>
      <c r="Q38" s="4"/>
      <c r="R38" s="20">
        <v>0</v>
      </c>
      <c r="S38" s="4"/>
      <c r="T38" s="15">
        <v>2096</v>
      </c>
      <c r="U38" s="4"/>
      <c r="V38" s="15">
        <v>1250</v>
      </c>
      <c r="X38" s="17"/>
    </row>
    <row r="39" spans="1:26" ht="15.75">
      <c r="A39" s="4"/>
      <c r="B39" s="13">
        <f>SUM(B35:B38)</f>
        <v>24600</v>
      </c>
      <c r="C39" s="4"/>
      <c r="D39" s="30">
        <f>SUM(D36:D38)</f>
        <v>26484</v>
      </c>
      <c r="E39" s="4"/>
      <c r="F39" s="13">
        <f>SUM(F35:F38)</f>
        <v>24600</v>
      </c>
      <c r="G39" s="4"/>
      <c r="H39" s="30">
        <f>SUM(H36:H38)</f>
        <v>26787.11</v>
      </c>
      <c r="I39" s="4"/>
      <c r="J39" s="13">
        <f>SUM(J35:J38)</f>
        <v>25150</v>
      </c>
      <c r="K39" s="30"/>
      <c r="L39" s="13">
        <f>SUM(L35:L38)</f>
        <v>25031.68</v>
      </c>
      <c r="M39" s="30"/>
      <c r="N39" s="13">
        <f>SUM(N35:N38)</f>
        <v>26280</v>
      </c>
      <c r="O39" s="4"/>
      <c r="P39" s="3">
        <f>SUM(P35:P38)</f>
        <v>22821</v>
      </c>
      <c r="Q39" s="4"/>
      <c r="R39" s="13">
        <f>SUM(R35:R38)</f>
        <v>20500</v>
      </c>
      <c r="S39" s="4"/>
      <c r="T39" s="3">
        <f>SUM(T35:T38)</f>
        <v>20768</v>
      </c>
      <c r="U39" s="4"/>
      <c r="V39" s="3">
        <f>SUM(V35:V38)</f>
        <v>17650</v>
      </c>
      <c r="X39" s="18" t="s">
        <v>13</v>
      </c>
      <c r="Z39" s="1" t="s">
        <v>13</v>
      </c>
    </row>
    <row r="40" spans="1:24" ht="15.75">
      <c r="A40" s="10" t="s">
        <v>32</v>
      </c>
      <c r="B40" s="13"/>
      <c r="C40" s="10"/>
      <c r="D40" s="32"/>
      <c r="E40" s="10"/>
      <c r="F40" s="13"/>
      <c r="G40" s="10"/>
      <c r="H40" s="32"/>
      <c r="I40" s="10"/>
      <c r="K40" s="32"/>
      <c r="L40" s="32"/>
      <c r="M40" s="32"/>
      <c r="O40" s="10"/>
      <c r="Q40" s="4"/>
      <c r="R40" s="13"/>
      <c r="S40" s="4"/>
      <c r="U40" s="4"/>
      <c r="X40" s="17"/>
    </row>
    <row r="41" spans="1:24" ht="15.75">
      <c r="A41" s="4" t="s">
        <v>33</v>
      </c>
      <c r="B41" s="13">
        <v>250</v>
      </c>
      <c r="C41" s="4"/>
      <c r="D41" s="30">
        <v>215</v>
      </c>
      <c r="E41" s="4"/>
      <c r="F41" s="13">
        <v>250</v>
      </c>
      <c r="G41" s="4"/>
      <c r="H41" s="30">
        <v>627.73</v>
      </c>
      <c r="I41" s="4"/>
      <c r="J41" s="13">
        <v>250</v>
      </c>
      <c r="K41" s="30"/>
      <c r="L41" s="13">
        <f>302.5+189.79</f>
        <v>492.28999999999996</v>
      </c>
      <c r="M41" s="30"/>
      <c r="N41" s="13">
        <v>250</v>
      </c>
      <c r="O41" s="4"/>
      <c r="P41" s="3">
        <v>277</v>
      </c>
      <c r="Q41" s="4"/>
      <c r="R41" s="13">
        <v>225</v>
      </c>
      <c r="S41" s="4"/>
      <c r="T41" s="3">
        <v>224</v>
      </c>
      <c r="U41" s="4"/>
      <c r="V41" s="3">
        <v>200</v>
      </c>
      <c r="X41" s="17"/>
    </row>
    <row r="42" spans="1:24" ht="15.75">
      <c r="A42" s="4" t="s">
        <v>48</v>
      </c>
      <c r="B42" s="13">
        <v>4000</v>
      </c>
      <c r="C42" s="4"/>
      <c r="D42" s="30">
        <v>3918</v>
      </c>
      <c r="E42" s="4"/>
      <c r="F42" s="13">
        <v>3500</v>
      </c>
      <c r="G42" s="4"/>
      <c r="H42" s="30">
        <v>3546.5</v>
      </c>
      <c r="I42" s="4"/>
      <c r="J42" s="13">
        <v>3000</v>
      </c>
      <c r="K42" s="30"/>
      <c r="L42" s="13">
        <v>2739.75</v>
      </c>
      <c r="M42" s="30"/>
      <c r="N42" s="13">
        <v>3100</v>
      </c>
      <c r="O42" s="4"/>
      <c r="P42" s="3">
        <f>932+332.75+2453.56</f>
        <v>3718.31</v>
      </c>
      <c r="Q42" s="4"/>
      <c r="R42" s="13">
        <v>2500</v>
      </c>
      <c r="S42" s="4"/>
      <c r="T42" s="3">
        <v>1025</v>
      </c>
      <c r="U42" s="4"/>
      <c r="V42" s="3">
        <v>500</v>
      </c>
      <c r="X42" s="17"/>
    </row>
    <row r="43" spans="1:24" ht="16.5" thickBot="1">
      <c r="A43" s="4" t="s">
        <v>49</v>
      </c>
      <c r="B43" s="20">
        <v>250</v>
      </c>
      <c r="C43" s="4"/>
      <c r="D43" s="33">
        <v>474</v>
      </c>
      <c r="E43" s="4"/>
      <c r="F43" s="20">
        <v>250</v>
      </c>
      <c r="G43" s="4"/>
      <c r="H43" s="33">
        <v>248.4</v>
      </c>
      <c r="I43" s="4"/>
      <c r="J43" s="20">
        <v>250</v>
      </c>
      <c r="K43" s="30"/>
      <c r="L43" s="20">
        <v>1019.31</v>
      </c>
      <c r="M43" s="30"/>
      <c r="N43" s="20">
        <v>0</v>
      </c>
      <c r="O43" s="4"/>
      <c r="P43" s="15">
        <v>1499</v>
      </c>
      <c r="Q43" s="4"/>
      <c r="R43" s="20">
        <v>0</v>
      </c>
      <c r="S43" s="4"/>
      <c r="T43" s="15">
        <v>-3690</v>
      </c>
      <c r="U43" s="4"/>
      <c r="V43" s="15">
        <v>1250</v>
      </c>
      <c r="X43" s="17"/>
    </row>
    <row r="44" spans="1:26" ht="15.75">
      <c r="A44" s="4"/>
      <c r="B44" s="13">
        <f>SUM(B40:B43)</f>
        <v>4500</v>
      </c>
      <c r="C44" s="4"/>
      <c r="D44" s="30">
        <f>SUM(D41:D43)</f>
        <v>4607</v>
      </c>
      <c r="E44" s="4"/>
      <c r="F44" s="13">
        <f>SUM(F40:F43)</f>
        <v>4000</v>
      </c>
      <c r="G44" s="4"/>
      <c r="H44" s="30">
        <f>SUM(H41:H43)</f>
        <v>4422.629999999999</v>
      </c>
      <c r="I44" s="4"/>
      <c r="J44" s="13">
        <f>SUM(J40:J43)</f>
        <v>3500</v>
      </c>
      <c r="K44" s="30"/>
      <c r="L44" s="13">
        <f>SUM(L40:L43)</f>
        <v>4251.35</v>
      </c>
      <c r="M44" s="30"/>
      <c r="N44" s="13">
        <f>SUM(N40:N43)</f>
        <v>3350</v>
      </c>
      <c r="O44" s="4"/>
      <c r="P44" s="3">
        <f>SUM(P40:P43)</f>
        <v>5494.3099999999995</v>
      </c>
      <c r="Q44" s="4"/>
      <c r="R44" s="13">
        <f>SUM(R40:R43)</f>
        <v>2725</v>
      </c>
      <c r="S44" s="4"/>
      <c r="T44" s="3">
        <f>SUM(T40:T43)</f>
        <v>-2441</v>
      </c>
      <c r="U44" s="4"/>
      <c r="V44" s="3">
        <f>SUM(V40:V43)</f>
        <v>1950</v>
      </c>
      <c r="X44" s="18" t="s">
        <v>13</v>
      </c>
      <c r="Z44" s="1" t="s">
        <v>13</v>
      </c>
    </row>
    <row r="45" spans="1:24" ht="15.75">
      <c r="A45" s="10" t="s">
        <v>34</v>
      </c>
      <c r="B45" s="13"/>
      <c r="C45" s="10"/>
      <c r="D45" s="32"/>
      <c r="E45" s="10"/>
      <c r="F45" s="13"/>
      <c r="G45" s="10"/>
      <c r="H45" s="32"/>
      <c r="I45" s="10"/>
      <c r="K45" s="32"/>
      <c r="L45" s="13"/>
      <c r="M45" s="32"/>
      <c r="O45" s="10"/>
      <c r="Q45" s="4"/>
      <c r="R45" s="13"/>
      <c r="S45" s="4"/>
      <c r="U45" s="4"/>
      <c r="X45" s="17"/>
    </row>
    <row r="46" spans="1:24" ht="15.75">
      <c r="A46" s="4" t="s">
        <v>35</v>
      </c>
      <c r="B46" s="13">
        <v>10000</v>
      </c>
      <c r="C46" s="4"/>
      <c r="D46" s="30">
        <f>10287</f>
        <v>10287</v>
      </c>
      <c r="E46" s="4"/>
      <c r="F46" s="13">
        <v>8000</v>
      </c>
      <c r="G46" s="4"/>
      <c r="H46" s="30">
        <v>16357.95</v>
      </c>
      <c r="I46" s="4"/>
      <c r="J46" s="13">
        <v>14500</v>
      </c>
      <c r="K46" s="30"/>
      <c r="L46" s="13">
        <v>11756.36</v>
      </c>
      <c r="M46" s="30"/>
      <c r="N46" s="13">
        <v>15000</v>
      </c>
      <c r="O46" s="4"/>
      <c r="P46" s="3">
        <v>13629</v>
      </c>
      <c r="Q46" s="4"/>
      <c r="R46" s="13">
        <v>12000</v>
      </c>
      <c r="S46" s="4"/>
      <c r="T46" s="3">
        <v>11047</v>
      </c>
      <c r="U46" s="4"/>
      <c r="V46" s="3">
        <v>7500</v>
      </c>
      <c r="X46" s="17"/>
    </row>
    <row r="47" spans="1:24" ht="15.75">
      <c r="A47" s="4" t="s">
        <v>47</v>
      </c>
      <c r="B47" s="13">
        <v>3000</v>
      </c>
      <c r="C47" s="4"/>
      <c r="D47" s="30">
        <v>3252</v>
      </c>
      <c r="E47" s="4"/>
      <c r="F47" s="13">
        <v>500</v>
      </c>
      <c r="G47" s="4"/>
      <c r="H47" s="30">
        <v>315</v>
      </c>
      <c r="I47" s="4"/>
      <c r="J47" s="13">
        <v>1500</v>
      </c>
      <c r="K47" s="30"/>
      <c r="L47" s="13">
        <v>3427.5</v>
      </c>
      <c r="M47" s="30"/>
      <c r="N47" s="13">
        <v>3000</v>
      </c>
      <c r="O47" s="4"/>
      <c r="P47" s="3">
        <v>0</v>
      </c>
      <c r="Q47" s="4"/>
      <c r="R47" s="13">
        <v>0</v>
      </c>
      <c r="S47" s="4"/>
      <c r="T47" s="3">
        <v>0</v>
      </c>
      <c r="U47" s="4"/>
      <c r="V47" s="3">
        <v>0</v>
      </c>
      <c r="X47" s="17"/>
    </row>
    <row r="48" spans="1:24" ht="15.75">
      <c r="A48" s="4" t="s">
        <v>36</v>
      </c>
      <c r="B48" s="13">
        <v>300</v>
      </c>
      <c r="C48" s="4"/>
      <c r="D48" s="30">
        <v>297.4</v>
      </c>
      <c r="E48" s="4"/>
      <c r="F48" s="13">
        <v>300</v>
      </c>
      <c r="G48" s="4"/>
      <c r="H48" s="30">
        <v>297.4</v>
      </c>
      <c r="I48" s="4"/>
      <c r="J48" s="13">
        <v>750</v>
      </c>
      <c r="K48" s="30"/>
      <c r="L48" s="13">
        <v>716.04</v>
      </c>
      <c r="M48" s="30"/>
      <c r="N48" s="13">
        <v>1000</v>
      </c>
      <c r="O48" s="4"/>
      <c r="P48" s="3">
        <v>507</v>
      </c>
      <c r="Q48" s="4"/>
      <c r="R48" s="13">
        <v>1000</v>
      </c>
      <c r="S48" s="4"/>
      <c r="T48" s="3">
        <v>1165</v>
      </c>
      <c r="U48" s="4"/>
      <c r="V48" s="3">
        <v>500</v>
      </c>
      <c r="X48" s="17"/>
    </row>
    <row r="49" spans="1:24" ht="16.5" thickBot="1">
      <c r="A49" s="4" t="s">
        <v>37</v>
      </c>
      <c r="B49" s="20">
        <v>0</v>
      </c>
      <c r="C49" s="4"/>
      <c r="D49" s="33">
        <v>0</v>
      </c>
      <c r="E49" s="4"/>
      <c r="F49" s="20">
        <v>0</v>
      </c>
      <c r="G49" s="4"/>
      <c r="H49" s="33">
        <v>0</v>
      </c>
      <c r="I49" s="4"/>
      <c r="J49" s="20">
        <v>100</v>
      </c>
      <c r="K49" s="30"/>
      <c r="L49" s="20">
        <v>-158.56</v>
      </c>
      <c r="M49" s="30"/>
      <c r="N49" s="20">
        <v>1000</v>
      </c>
      <c r="O49" s="4"/>
      <c r="P49" s="15">
        <f>287.67+203.8+45.62+173.65+795</f>
        <v>1505.74</v>
      </c>
      <c r="Q49" s="4"/>
      <c r="R49" s="20">
        <v>250</v>
      </c>
      <c r="S49" s="4"/>
      <c r="T49" s="15">
        <f>245+208</f>
        <v>453</v>
      </c>
      <c r="U49" s="4"/>
      <c r="V49" s="15">
        <v>450</v>
      </c>
      <c r="X49" s="17"/>
    </row>
    <row r="50" spans="1:26" ht="15.75">
      <c r="A50" s="4"/>
      <c r="B50" s="13">
        <f>SUM(B45:B49)</f>
        <v>13300</v>
      </c>
      <c r="C50" s="4"/>
      <c r="D50" s="30">
        <f>SUM(D46:D49)</f>
        <v>13836.4</v>
      </c>
      <c r="E50" s="4"/>
      <c r="F50" s="13">
        <f>SUM(F45:F49)</f>
        <v>8800</v>
      </c>
      <c r="G50" s="4"/>
      <c r="H50" s="30">
        <f>SUM(H46:H49)</f>
        <v>16970.350000000002</v>
      </c>
      <c r="I50" s="4"/>
      <c r="J50" s="13">
        <f>SUM(J45:J49)</f>
        <v>16850</v>
      </c>
      <c r="K50" s="30"/>
      <c r="L50" s="13">
        <f>SUM(L45:L49)</f>
        <v>15741.340000000002</v>
      </c>
      <c r="M50" s="30"/>
      <c r="N50" s="13">
        <f>SUM(N45:N49)</f>
        <v>20000</v>
      </c>
      <c r="O50" s="4"/>
      <c r="P50" s="3">
        <f>SUM(P45:P49)</f>
        <v>15641.74</v>
      </c>
      <c r="Q50" s="4"/>
      <c r="R50" s="13">
        <f>SUM(R45:R49)</f>
        <v>13250</v>
      </c>
      <c r="S50" s="4"/>
      <c r="T50" s="3">
        <f>SUM(T45:T49)</f>
        <v>12665</v>
      </c>
      <c r="U50" s="4"/>
      <c r="V50" s="3">
        <f>SUM(V45:V49)</f>
        <v>8450</v>
      </c>
      <c r="X50" s="18" t="s">
        <v>13</v>
      </c>
      <c r="Z50" s="1" t="s">
        <v>13</v>
      </c>
    </row>
    <row r="51" spans="1:24" ht="15.75">
      <c r="A51" s="10" t="s">
        <v>38</v>
      </c>
      <c r="B51" s="13"/>
      <c r="C51" s="10"/>
      <c r="D51" s="32"/>
      <c r="E51" s="10"/>
      <c r="F51" s="13"/>
      <c r="G51" s="10"/>
      <c r="H51" s="32"/>
      <c r="I51" s="10"/>
      <c r="K51" s="32"/>
      <c r="L51" s="13"/>
      <c r="M51" s="32"/>
      <c r="O51" s="10"/>
      <c r="Q51" s="4"/>
      <c r="R51" s="13"/>
      <c r="S51" s="4"/>
      <c r="U51" s="4"/>
      <c r="X51" s="17"/>
    </row>
    <row r="52" spans="1:24" ht="15.75">
      <c r="A52" s="4" t="s">
        <v>39</v>
      </c>
      <c r="B52" s="13">
        <v>5000</v>
      </c>
      <c r="C52" s="4"/>
      <c r="D52" s="30">
        <v>5166</v>
      </c>
      <c r="E52" s="4"/>
      <c r="F52" s="13">
        <v>5000</v>
      </c>
      <c r="G52" s="4"/>
      <c r="H52" s="30">
        <v>5800.31</v>
      </c>
      <c r="I52" s="4"/>
      <c r="J52" s="13">
        <v>5000</v>
      </c>
      <c r="K52" s="30"/>
      <c r="L52" s="13">
        <v>4859.16</v>
      </c>
      <c r="M52" s="30"/>
      <c r="N52" s="13">
        <v>5250</v>
      </c>
      <c r="O52" s="4"/>
      <c r="P52" s="3">
        <v>4770</v>
      </c>
      <c r="Q52" s="4"/>
      <c r="R52" s="13">
        <v>3000</v>
      </c>
      <c r="S52" s="4"/>
      <c r="T52" s="3">
        <v>6927</v>
      </c>
      <c r="U52" s="4"/>
      <c r="V52" s="3">
        <v>2850</v>
      </c>
      <c r="X52" s="17"/>
    </row>
    <row r="53" spans="1:24" ht="15.75">
      <c r="A53" s="4" t="s">
        <v>3</v>
      </c>
      <c r="B53" s="13">
        <v>2000</v>
      </c>
      <c r="C53" s="4"/>
      <c r="D53" s="30">
        <v>1892</v>
      </c>
      <c r="E53" s="4"/>
      <c r="F53" s="13">
        <v>2100</v>
      </c>
      <c r="G53" s="4"/>
      <c r="H53" s="30">
        <v>2395.59</v>
      </c>
      <c r="I53" s="4"/>
      <c r="J53" s="13">
        <v>2250</v>
      </c>
      <c r="K53" s="30"/>
      <c r="L53" s="13">
        <v>2511.59</v>
      </c>
      <c r="M53" s="30"/>
      <c r="N53" s="13">
        <v>2500</v>
      </c>
      <c r="O53" s="4"/>
      <c r="P53" s="3">
        <v>1937.58</v>
      </c>
      <c r="Q53" s="4"/>
      <c r="R53" s="13">
        <v>1250</v>
      </c>
      <c r="S53" s="4"/>
      <c r="T53" s="3">
        <v>1384</v>
      </c>
      <c r="U53" s="4"/>
      <c r="V53" s="3">
        <v>900</v>
      </c>
      <c r="X53" s="17"/>
    </row>
    <row r="54" spans="1:24" ht="15.75">
      <c r="A54" s="4" t="s">
        <v>43</v>
      </c>
      <c r="B54" s="13">
        <v>100</v>
      </c>
      <c r="C54" s="4"/>
      <c r="D54" s="30">
        <f>578-420</f>
        <v>158</v>
      </c>
      <c r="E54" s="4"/>
      <c r="F54" s="13">
        <v>100</v>
      </c>
      <c r="G54" s="4"/>
      <c r="H54" s="30">
        <f>849-616.6</f>
        <v>232.39999999999998</v>
      </c>
      <c r="I54" s="4"/>
      <c r="J54" s="13">
        <v>100</v>
      </c>
      <c r="K54" s="30"/>
      <c r="L54" s="13">
        <f>-22.67-986.84</f>
        <v>-1009.51</v>
      </c>
      <c r="M54" s="30"/>
      <c r="N54" s="13">
        <v>-980</v>
      </c>
      <c r="O54" s="4"/>
      <c r="P54" s="3">
        <v>-1328</v>
      </c>
      <c r="Q54" s="4"/>
      <c r="R54" s="13">
        <v>-1325</v>
      </c>
      <c r="S54" s="4"/>
      <c r="T54" s="3">
        <v>-1488</v>
      </c>
      <c r="U54" s="4"/>
      <c r="V54" s="3">
        <v>0</v>
      </c>
      <c r="X54" s="17"/>
    </row>
    <row r="55" spans="1:24" ht="16.5" thickBot="1">
      <c r="A55" s="4" t="s">
        <v>20</v>
      </c>
      <c r="B55" s="20">
        <v>270</v>
      </c>
      <c r="C55" s="4"/>
      <c r="D55" s="33">
        <v>589</v>
      </c>
      <c r="E55" s="4"/>
      <c r="F55" s="20">
        <v>270</v>
      </c>
      <c r="G55" s="4"/>
      <c r="H55" s="33">
        <v>253.5</v>
      </c>
      <c r="I55" s="4"/>
      <c r="J55" s="20">
        <v>270</v>
      </c>
      <c r="K55" s="30"/>
      <c r="L55" s="20">
        <v>223.85</v>
      </c>
      <c r="M55" s="30"/>
      <c r="N55" s="20">
        <v>100</v>
      </c>
      <c r="O55" s="4"/>
      <c r="P55" s="15">
        <f>206-2131.9</f>
        <v>-1925.9</v>
      </c>
      <c r="Q55" s="4"/>
      <c r="R55" s="20">
        <v>200</v>
      </c>
      <c r="S55" s="4"/>
      <c r="T55" s="15">
        <v>1355</v>
      </c>
      <c r="U55" s="4"/>
      <c r="V55" s="15">
        <v>100</v>
      </c>
      <c r="X55" s="17"/>
    </row>
    <row r="56" spans="1:26" ht="15.75">
      <c r="A56" s="4"/>
      <c r="B56" s="13">
        <f>SUM(B51:B55)</f>
        <v>7370</v>
      </c>
      <c r="C56" s="4"/>
      <c r="D56" s="30">
        <f>SUM(D52:D55)</f>
        <v>7805</v>
      </c>
      <c r="E56" s="4"/>
      <c r="F56" s="13">
        <f>SUM(F51:F55)</f>
        <v>7470</v>
      </c>
      <c r="G56" s="4"/>
      <c r="H56" s="30">
        <f>SUM(H52:H55)</f>
        <v>8681.800000000001</v>
      </c>
      <c r="I56" s="4"/>
      <c r="J56" s="13">
        <f>SUM(J51:J55)</f>
        <v>7620</v>
      </c>
      <c r="K56" s="30"/>
      <c r="L56" s="13">
        <f>SUM(L51:L55)</f>
        <v>6585.09</v>
      </c>
      <c r="M56" s="30"/>
      <c r="N56" s="13">
        <f>SUM(N51:N55)</f>
        <v>6870</v>
      </c>
      <c r="O56" s="4"/>
      <c r="P56" s="3">
        <f>SUM(P51:P55)</f>
        <v>3453.68</v>
      </c>
      <c r="Q56" s="4"/>
      <c r="R56" s="13">
        <f>SUM(R51:R55)</f>
        <v>3125</v>
      </c>
      <c r="S56" s="4"/>
      <c r="T56" s="3">
        <f>SUM(T51:T55)</f>
        <v>8178</v>
      </c>
      <c r="U56" s="4"/>
      <c r="V56" s="3">
        <f>SUM(V51:V55)</f>
        <v>3850</v>
      </c>
      <c r="X56" s="18" t="s">
        <v>13</v>
      </c>
      <c r="Z56" s="1" t="s">
        <v>13</v>
      </c>
    </row>
    <row r="57" spans="1:25" ht="15.75">
      <c r="A57" s="4"/>
      <c r="B57" s="13"/>
      <c r="C57" s="4"/>
      <c r="D57" s="30"/>
      <c r="E57" s="4"/>
      <c r="F57" s="13"/>
      <c r="G57" s="4"/>
      <c r="H57" s="30"/>
      <c r="I57" s="4"/>
      <c r="K57" s="30"/>
      <c r="L57" s="13"/>
      <c r="M57" s="30"/>
      <c r="O57" s="4"/>
      <c r="Q57" s="4"/>
      <c r="R57" s="13"/>
      <c r="S57" s="4"/>
      <c r="U57" s="4"/>
      <c r="X57" s="17"/>
      <c r="Y57" s="1" t="s">
        <v>13</v>
      </c>
    </row>
    <row r="58" spans="1:24" ht="15.75">
      <c r="A58" s="10" t="s">
        <v>12</v>
      </c>
      <c r="B58" s="25">
        <f>B15+B20+B30+B34+B39+B44+B50+B56</f>
        <v>286500</v>
      </c>
      <c r="C58" s="10"/>
      <c r="D58" s="25">
        <f>D15+D20+D30+D34+D39+D44+D50+D56</f>
        <v>275249.4</v>
      </c>
      <c r="E58" s="10"/>
      <c r="F58" s="25">
        <f>F15+F20+F30+F34+F39+F44+F50+F56</f>
        <v>306500</v>
      </c>
      <c r="G58" s="10"/>
      <c r="H58" s="25">
        <f>H15+H20+H30+H34+H39+H44+H50+H56</f>
        <v>322895.18999999994</v>
      </c>
      <c r="I58" s="10"/>
      <c r="J58" s="25">
        <f>J15+J20+J30+J34+J39+J44+J50+J56</f>
        <v>312000</v>
      </c>
      <c r="K58" s="32"/>
      <c r="L58" s="25">
        <f>L15+L20+L30+L34+L39+L44+L50+L56</f>
        <v>297493.17000000004</v>
      </c>
      <c r="M58" s="32"/>
      <c r="N58" s="25">
        <f>N15+N20+N30+N34+N39+N44+N50+N56</f>
        <v>291000</v>
      </c>
      <c r="O58" s="4"/>
      <c r="P58" s="25">
        <f>P15+P20+P30+P34+P39+P44+P50+P56</f>
        <v>255136.75999999998</v>
      </c>
      <c r="Q58" s="4"/>
      <c r="R58" s="25">
        <f>R15+R20+R30+R34+R39+R44+R50+R56</f>
        <v>227230</v>
      </c>
      <c r="S58" s="4"/>
      <c r="T58" s="25">
        <f>T15+T20+T30+T34+T39+T44+T50+T56</f>
        <v>234752</v>
      </c>
      <c r="U58" s="4"/>
      <c r="V58" s="25">
        <f>V15+V20+V30+V34+V39+V44+V50+V56</f>
        <v>206480</v>
      </c>
      <c r="X58" s="17"/>
    </row>
    <row r="59" spans="2:24" ht="15.75">
      <c r="B59" s="13"/>
      <c r="D59" s="38"/>
      <c r="F59" s="13"/>
      <c r="K59" s="38"/>
      <c r="L59" s="13"/>
      <c r="M59" s="38"/>
      <c r="O59" s="4"/>
      <c r="Q59" s="4"/>
      <c r="R59" s="13"/>
      <c r="S59" s="4"/>
      <c r="U59" s="4"/>
      <c r="X59" s="17"/>
    </row>
    <row r="60" spans="1:24" ht="16.5" thickBot="1">
      <c r="A60" s="10" t="s">
        <v>40</v>
      </c>
      <c r="B60" s="28">
        <f>SUM(B12-B58)</f>
        <v>0</v>
      </c>
      <c r="C60" s="10"/>
      <c r="D60" s="28">
        <f>SUM(D12-D58)</f>
        <v>8167.599999999977</v>
      </c>
      <c r="E60" s="10"/>
      <c r="F60" s="28">
        <f>SUM(F12-F58)</f>
        <v>0</v>
      </c>
      <c r="G60" s="10"/>
      <c r="H60" s="28">
        <f>SUM(H12-H58)</f>
        <v>1091.5600000000559</v>
      </c>
      <c r="I60" s="10"/>
      <c r="J60" s="28">
        <f>SUM(J12-J58)</f>
        <v>0</v>
      </c>
      <c r="K60" s="32"/>
      <c r="L60" s="28">
        <f>SUM(L12-L58)</f>
        <v>10668.079999999958</v>
      </c>
      <c r="M60" s="32"/>
      <c r="N60" s="28">
        <f>SUM(N12-N58)</f>
        <v>0</v>
      </c>
      <c r="O60" s="4"/>
      <c r="P60" s="29">
        <f>SUM(P12-P58)</f>
        <v>-131.55999999996857</v>
      </c>
      <c r="Q60" s="4"/>
      <c r="R60" s="28">
        <f>SUM(R12-R58)</f>
        <v>-6780</v>
      </c>
      <c r="S60" s="4"/>
      <c r="T60" s="29">
        <f>SUM(T12-T58)</f>
        <v>5846</v>
      </c>
      <c r="U60" s="4"/>
      <c r="V60" s="29">
        <f>SUM(V12-V58)</f>
        <v>1120</v>
      </c>
      <c r="X60" s="17"/>
    </row>
    <row r="61" spans="11:24" ht="16.5" thickTop="1">
      <c r="K61" s="4"/>
      <c r="L61" s="30"/>
      <c r="M61" s="4"/>
      <c r="Q61" s="4"/>
      <c r="S61" s="4"/>
      <c r="T61" s="13"/>
      <c r="U61" s="4"/>
      <c r="X61" s="17"/>
    </row>
    <row r="62" spans="1:24" ht="15.75">
      <c r="A62" s="4"/>
      <c r="B62" s="4"/>
      <c r="C62" s="4"/>
      <c r="D62" s="4"/>
      <c r="E62" s="4"/>
      <c r="F62" s="4"/>
      <c r="G62" s="4"/>
      <c r="H62" s="30"/>
      <c r="I62" s="4"/>
      <c r="K62" s="4"/>
      <c r="L62" s="30"/>
      <c r="M62" s="4"/>
      <c r="X62" s="17"/>
    </row>
    <row r="63" ht="15.75">
      <c r="X63" s="17"/>
    </row>
    <row r="64" ht="15.75">
      <c r="X64" s="17"/>
    </row>
    <row r="65" spans="8:24" ht="15.75">
      <c r="H65" s="1"/>
      <c r="J65" s="1"/>
      <c r="L65" s="1"/>
      <c r="N65" s="1"/>
      <c r="O65" s="1"/>
      <c r="P65" s="1"/>
      <c r="R65" s="1"/>
      <c r="T65" s="1"/>
      <c r="V65" s="1"/>
      <c r="X65" s="17" t="s">
        <v>13</v>
      </c>
    </row>
    <row r="66" spans="8:24" ht="15.75">
      <c r="H66" s="1"/>
      <c r="J66" s="1"/>
      <c r="L66" s="1"/>
      <c r="N66" s="1"/>
      <c r="O66" s="1"/>
      <c r="P66" s="1"/>
      <c r="R66" s="1"/>
      <c r="T66" s="1"/>
      <c r="V66" s="1"/>
      <c r="X66" s="17"/>
    </row>
  </sheetData>
  <sheetProtection/>
  <mergeCells count="1">
    <mergeCell ref="A1:V1"/>
  </mergeCells>
  <printOptions/>
  <pageMargins left="0.7" right="0.7" top="0.75" bottom="0.75" header="0.3" footer="0.3"/>
  <pageSetup orientation="portrait" paperSize="9" scale="74"/>
  <rowBreaks count="1" manualBreakCount="1">
    <brk id="61" max="21" man="1"/>
  </rowBreaks>
  <colBreaks count="1" manualBreakCount="1">
    <brk id="10" max="59" man="1"/>
  </colBreaks>
</worksheet>
</file>

<file path=xl/worksheets/sheet4.xml><?xml version="1.0" encoding="utf-8"?>
<worksheet xmlns="http://schemas.openxmlformats.org/spreadsheetml/2006/main" xmlns:r="http://schemas.openxmlformats.org/officeDocument/2006/relationships">
  <dimension ref="A1:AA66"/>
  <sheetViews>
    <sheetView zoomScale="150" zoomScaleNormal="150" zoomScalePageLayoutView="0" workbookViewId="0" topLeftCell="A1">
      <selection activeCell="W63" sqref="W63"/>
    </sheetView>
  </sheetViews>
  <sheetFormatPr defaultColWidth="9.00390625" defaultRowHeight="14.25"/>
  <cols>
    <col min="1" max="1" width="26.875" style="1" bestFit="1" customWidth="1"/>
    <col min="2" max="2" width="12.50390625" style="1" customWidth="1"/>
    <col min="3" max="3" width="1.4921875" style="1" customWidth="1"/>
    <col min="4" max="4" width="12.50390625" style="1" customWidth="1"/>
    <col min="5" max="5" width="1.4921875" style="1" customWidth="1"/>
    <col min="6" max="6" width="12.50390625" style="1" customWidth="1"/>
    <col min="7" max="7" width="1.4921875" style="1" customWidth="1"/>
    <col min="8" max="8" width="12.50390625" style="38" customWidth="1"/>
    <col min="9" max="9" width="1.4921875" style="1" customWidth="1"/>
    <col min="10" max="10" width="12.50390625" style="13" bestFit="1" customWidth="1"/>
    <col min="11" max="11" width="1.4921875" style="1" hidden="1" customWidth="1"/>
    <col min="12" max="12" width="10.875" style="38" hidden="1" customWidth="1"/>
    <col min="13" max="13" width="1.4921875" style="1" hidden="1" customWidth="1"/>
    <col min="14" max="14" width="12.50390625" style="13" hidden="1" customWidth="1"/>
    <col min="15" max="15" width="1.4921875" style="13" hidden="1" customWidth="1"/>
    <col min="16" max="16" width="11.625" style="3" hidden="1" customWidth="1"/>
    <col min="17" max="17" width="1.4921875" style="1" hidden="1" customWidth="1"/>
    <col min="18" max="18" width="12.50390625" style="3" hidden="1" customWidth="1"/>
    <col min="19" max="19" width="1.4921875" style="1" hidden="1" customWidth="1"/>
    <col min="20" max="20" width="11.625" style="3" hidden="1" customWidth="1"/>
    <col min="21" max="21" width="1.4921875" style="1" hidden="1" customWidth="1"/>
    <col min="22" max="22" width="12.50390625" style="3" hidden="1" customWidth="1"/>
    <col min="23" max="23" width="9.00390625" style="1" customWidth="1"/>
    <col min="24" max="24" width="10.50390625" style="1" bestFit="1" customWidth="1"/>
    <col min="25" max="16384" width="9.00390625" style="1" customWidth="1"/>
  </cols>
  <sheetData>
    <row r="1" spans="1:22" ht="15.75">
      <c r="A1" s="46" t="s">
        <v>59</v>
      </c>
      <c r="B1" s="46"/>
      <c r="C1" s="46"/>
      <c r="D1" s="46"/>
      <c r="E1" s="46"/>
      <c r="F1" s="46"/>
      <c r="G1" s="46"/>
      <c r="H1" s="46"/>
      <c r="I1" s="46"/>
      <c r="J1" s="47"/>
      <c r="K1" s="47"/>
      <c r="L1" s="47"/>
      <c r="M1" s="47"/>
      <c r="N1" s="47"/>
      <c r="O1" s="47"/>
      <c r="P1" s="47"/>
      <c r="Q1" s="47"/>
      <c r="R1" s="47"/>
      <c r="S1" s="47"/>
      <c r="T1" s="47"/>
      <c r="U1" s="47"/>
      <c r="V1" s="47"/>
    </row>
    <row r="2" spans="1:13" ht="15.75">
      <c r="A2" s="2"/>
      <c r="B2" s="2"/>
      <c r="C2" s="2"/>
      <c r="D2" s="2"/>
      <c r="E2" s="2"/>
      <c r="F2" s="2"/>
      <c r="G2" s="2"/>
      <c r="H2" s="34"/>
      <c r="I2" s="2"/>
      <c r="K2" s="2"/>
      <c r="L2" s="34"/>
      <c r="M2" s="2"/>
    </row>
    <row r="3" spans="1:22" ht="15.75">
      <c r="A3" s="4"/>
      <c r="B3" s="21" t="s">
        <v>4</v>
      </c>
      <c r="C3" s="44"/>
      <c r="D3" s="44" t="s">
        <v>5</v>
      </c>
      <c r="E3" s="44"/>
      <c r="F3" s="21" t="s">
        <v>4</v>
      </c>
      <c r="G3" s="4"/>
      <c r="H3" s="30" t="s">
        <v>5</v>
      </c>
      <c r="I3" s="30"/>
      <c r="J3" s="21" t="s">
        <v>4</v>
      </c>
      <c r="K3" s="4"/>
      <c r="L3" s="30" t="s">
        <v>5</v>
      </c>
      <c r="M3" s="30"/>
      <c r="N3" s="21" t="s">
        <v>4</v>
      </c>
      <c r="O3" s="4"/>
      <c r="P3" s="5" t="s">
        <v>5</v>
      </c>
      <c r="Q3" s="4"/>
      <c r="R3" s="21" t="s">
        <v>4</v>
      </c>
      <c r="S3" s="4"/>
      <c r="T3" s="5" t="s">
        <v>5</v>
      </c>
      <c r="U3" s="4"/>
      <c r="V3" s="5" t="s">
        <v>4</v>
      </c>
    </row>
    <row r="4" spans="1:22" ht="15.75">
      <c r="A4" s="4"/>
      <c r="B4" s="26" t="s">
        <v>58</v>
      </c>
      <c r="C4" s="44"/>
      <c r="D4" s="44" t="s">
        <v>55</v>
      </c>
      <c r="E4" s="44"/>
      <c r="F4" s="26" t="s">
        <v>55</v>
      </c>
      <c r="G4" s="4"/>
      <c r="H4" s="26" t="s">
        <v>52</v>
      </c>
      <c r="I4" s="26"/>
      <c r="J4" s="26" t="s">
        <v>52</v>
      </c>
      <c r="K4" s="4"/>
      <c r="L4" s="40" t="s">
        <v>46</v>
      </c>
      <c r="M4" s="26"/>
      <c r="N4" s="26" t="s">
        <v>46</v>
      </c>
      <c r="O4" s="4"/>
      <c r="P4" s="6" t="s">
        <v>14</v>
      </c>
      <c r="Q4" s="4"/>
      <c r="R4" s="26" t="s">
        <v>14</v>
      </c>
      <c r="S4" s="7"/>
      <c r="T4" s="6" t="s">
        <v>15</v>
      </c>
      <c r="U4" s="7"/>
      <c r="V4" s="6" t="s">
        <v>15</v>
      </c>
    </row>
    <row r="5" spans="1:22" ht="15.75">
      <c r="A5" s="4"/>
      <c r="B5" s="27" t="s">
        <v>6</v>
      </c>
      <c r="C5" s="27"/>
      <c r="D5" s="27" t="s">
        <v>6</v>
      </c>
      <c r="E5" s="27"/>
      <c r="F5" s="27" t="s">
        <v>6</v>
      </c>
      <c r="G5" s="4"/>
      <c r="H5" s="36" t="s">
        <v>6</v>
      </c>
      <c r="I5" s="36"/>
      <c r="J5" s="27" t="s">
        <v>6</v>
      </c>
      <c r="K5" s="4"/>
      <c r="L5" s="36" t="s">
        <v>6</v>
      </c>
      <c r="M5" s="36"/>
      <c r="N5" s="27" t="s">
        <v>6</v>
      </c>
      <c r="O5" s="4"/>
      <c r="P5" s="8" t="s">
        <v>6</v>
      </c>
      <c r="Q5" s="4"/>
      <c r="R5" s="27" t="s">
        <v>6</v>
      </c>
      <c r="S5" s="7"/>
      <c r="T5" s="8" t="s">
        <v>6</v>
      </c>
      <c r="U5" s="7"/>
      <c r="V5" s="8" t="s">
        <v>6</v>
      </c>
    </row>
    <row r="6" spans="1:24" ht="15.75">
      <c r="A6" s="10" t="s">
        <v>7</v>
      </c>
      <c r="B6" s="10"/>
      <c r="C6" s="10"/>
      <c r="D6" s="10"/>
      <c r="E6" s="10"/>
      <c r="F6" s="10"/>
      <c r="G6" s="10"/>
      <c r="H6" s="32"/>
      <c r="I6" s="10"/>
      <c r="J6" s="10"/>
      <c r="K6" s="10"/>
      <c r="L6" s="32"/>
      <c r="M6" s="10"/>
      <c r="N6" s="23"/>
      <c r="O6" s="4"/>
      <c r="P6" s="9"/>
      <c r="Q6" s="4"/>
      <c r="R6" s="23"/>
      <c r="S6" s="7"/>
      <c r="T6" s="9"/>
      <c r="U6" s="7"/>
      <c r="V6" s="9"/>
      <c r="X6" s="16"/>
    </row>
    <row r="7" spans="1:24" ht="15.75">
      <c r="A7" s="4" t="s">
        <v>8</v>
      </c>
      <c r="B7" s="13">
        <f>FLOOR(D7*1.05,1000)-10000-5000</f>
        <v>192000</v>
      </c>
      <c r="C7" s="4"/>
      <c r="D7" s="30">
        <f>197161.2+200</f>
        <v>197361.2</v>
      </c>
      <c r="E7" s="4"/>
      <c r="F7" s="13">
        <f>FLOOR(H7*1.05,1000)-10000</f>
        <v>192000</v>
      </c>
      <c r="G7" s="30"/>
      <c r="H7" s="30">
        <v>192427.8</v>
      </c>
      <c r="I7" s="30"/>
      <c r="J7" s="13">
        <f>FLOOR(L7*1.05,1000)</f>
        <v>191000</v>
      </c>
      <c r="K7" s="30"/>
      <c r="L7" s="30">
        <v>182776.25</v>
      </c>
      <c r="M7" s="30"/>
      <c r="N7" s="13">
        <f>(142000*1.09)+20220</f>
        <v>175000</v>
      </c>
      <c r="O7" s="4"/>
      <c r="P7" s="3">
        <v>148920</v>
      </c>
      <c r="Q7" s="4"/>
      <c r="R7" s="13">
        <v>130000</v>
      </c>
      <c r="S7" s="4"/>
      <c r="T7" s="3">
        <v>146869</v>
      </c>
      <c r="U7" s="4"/>
      <c r="V7" s="3">
        <v>123000</v>
      </c>
      <c r="X7" s="17" t="s">
        <v>13</v>
      </c>
    </row>
    <row r="8" spans="1:24" ht="15.75">
      <c r="A8" s="4" t="s">
        <v>16</v>
      </c>
      <c r="B8" s="13">
        <v>28000</v>
      </c>
      <c r="C8" s="4"/>
      <c r="D8" s="30">
        <f>34315.35</f>
        <v>34315.35</v>
      </c>
      <c r="E8" s="4"/>
      <c r="F8" s="13">
        <v>33000</v>
      </c>
      <c r="G8" s="30"/>
      <c r="H8" s="30">
        <v>30615</v>
      </c>
      <c r="I8" s="30"/>
      <c r="J8" s="13">
        <v>34000</v>
      </c>
      <c r="K8" s="30"/>
      <c r="L8" s="30">
        <v>40540</v>
      </c>
      <c r="M8" s="30"/>
      <c r="N8" s="13">
        <v>37000</v>
      </c>
      <c r="O8" s="4"/>
      <c r="P8" s="3">
        <f>34704.2+627.5+227.5</f>
        <v>35559.2</v>
      </c>
      <c r="Q8" s="4"/>
      <c r="R8" s="13">
        <v>30000</v>
      </c>
      <c r="S8" s="4"/>
      <c r="T8" s="3">
        <v>27602</v>
      </c>
      <c r="U8" s="4"/>
      <c r="V8" s="3">
        <v>23000</v>
      </c>
      <c r="X8" s="18" t="s">
        <v>13</v>
      </c>
    </row>
    <row r="9" spans="1:24" ht="15.75">
      <c r="A9" s="14" t="s">
        <v>41</v>
      </c>
      <c r="B9" s="13">
        <f>72500+5000</f>
        <v>77500</v>
      </c>
      <c r="C9" s="14"/>
      <c r="D9" s="39">
        <f>789+228.58+6277.99+19059.35+29619.93+10357.83+2935.75+1853.19+11735.39+483.18</f>
        <v>83340.18999999999</v>
      </c>
      <c r="E9" s="14"/>
      <c r="F9" s="13">
        <f>72500+5000</f>
        <v>77500</v>
      </c>
      <c r="G9" s="39"/>
      <c r="H9" s="39">
        <f>631+5718+14347.38+23903.94+11425.35+3607.51+2177.22+11344.84+621.65+5199.78</f>
        <v>78976.66999999998</v>
      </c>
      <c r="I9" s="39"/>
      <c r="J9" s="13">
        <v>72500</v>
      </c>
      <c r="K9" s="39"/>
      <c r="L9" s="39">
        <v>73356</v>
      </c>
      <c r="M9" s="39"/>
      <c r="N9" s="13">
        <v>70000</v>
      </c>
      <c r="O9" s="4"/>
      <c r="P9" s="3">
        <v>62469</v>
      </c>
      <c r="Q9" s="4"/>
      <c r="R9" s="13">
        <v>54450</v>
      </c>
      <c r="S9" s="4"/>
      <c r="T9" s="3">
        <v>57803</v>
      </c>
      <c r="U9" s="4"/>
      <c r="V9" s="3">
        <v>53900</v>
      </c>
      <c r="X9" s="17"/>
    </row>
    <row r="10" spans="1:26" ht="15.75">
      <c r="A10" s="4" t="s">
        <v>56</v>
      </c>
      <c r="B10" s="13">
        <v>7500</v>
      </c>
      <c r="C10" s="4"/>
      <c r="D10" s="30">
        <f>6110.1+1781.64</f>
        <v>7891.740000000001</v>
      </c>
      <c r="E10" s="4"/>
      <c r="F10" s="13">
        <f>8000</f>
        <v>8000</v>
      </c>
      <c r="G10" s="30"/>
      <c r="H10" s="30">
        <f>2836.73+5641.25+1881.25</f>
        <v>10359.23</v>
      </c>
      <c r="I10" s="30"/>
      <c r="J10" s="13">
        <f>8000+2000</f>
        <v>10000</v>
      </c>
      <c r="K10" s="30"/>
      <c r="L10" s="30">
        <v>9893</v>
      </c>
      <c r="M10" s="30"/>
      <c r="N10" s="13">
        <v>7000</v>
      </c>
      <c r="O10" s="4"/>
      <c r="P10" s="3">
        <v>7307</v>
      </c>
      <c r="Q10" s="4"/>
      <c r="R10" s="13">
        <v>6000</v>
      </c>
      <c r="S10" s="4"/>
      <c r="T10" s="3">
        <f>4466+2791+967</f>
        <v>8224</v>
      </c>
      <c r="U10" s="4"/>
      <c r="V10" s="3">
        <v>7700</v>
      </c>
      <c r="X10" s="17" t="s">
        <v>13</v>
      </c>
      <c r="Z10" s="19" t="s">
        <v>13</v>
      </c>
    </row>
    <row r="11" spans="1:24" ht="16.5" thickBot="1">
      <c r="A11" s="4" t="s">
        <v>18</v>
      </c>
      <c r="B11" s="20">
        <v>1500</v>
      </c>
      <c r="C11" s="4"/>
      <c r="D11" s="33">
        <f>732.5+345.77</f>
        <v>1078.27</v>
      </c>
      <c r="E11" s="4"/>
      <c r="F11" s="20">
        <v>1500</v>
      </c>
      <c r="G11" s="30"/>
      <c r="H11" s="33">
        <f>150+415+100+10844.8</f>
        <v>11509.8</v>
      </c>
      <c r="I11" s="33"/>
      <c r="J11" s="20">
        <v>1100</v>
      </c>
      <c r="K11" s="30"/>
      <c r="L11" s="33">
        <v>1596</v>
      </c>
      <c r="M11" s="33"/>
      <c r="N11" s="20">
        <v>2000</v>
      </c>
      <c r="O11" s="4"/>
      <c r="P11" s="15">
        <v>750</v>
      </c>
      <c r="Q11" s="4"/>
      <c r="R11" s="20">
        <v>0</v>
      </c>
      <c r="S11" s="4"/>
      <c r="T11" s="15">
        <v>100</v>
      </c>
      <c r="U11" s="4"/>
      <c r="V11" s="15">
        <v>0</v>
      </c>
      <c r="X11" s="17"/>
    </row>
    <row r="12" spans="1:26" ht="15.75">
      <c r="A12" s="4"/>
      <c r="B12" s="13">
        <f>SUM(B7:B11)</f>
        <v>306500</v>
      </c>
      <c r="C12" s="4"/>
      <c r="D12" s="37">
        <f>SUM(D7:D11)</f>
        <v>323986.75</v>
      </c>
      <c r="E12" s="4"/>
      <c r="F12" s="13">
        <f>SUM(F7:F11)</f>
        <v>312000</v>
      </c>
      <c r="G12" s="30"/>
      <c r="H12" s="30">
        <f>SUM(H7:H11)</f>
        <v>323888.49999999994</v>
      </c>
      <c r="I12" s="30"/>
      <c r="J12" s="13">
        <f>SUM(J7:J11)</f>
        <v>308600</v>
      </c>
      <c r="K12" s="30"/>
      <c r="L12" s="30">
        <f>SUM(L7:L11)</f>
        <v>308161.25</v>
      </c>
      <c r="M12" s="30"/>
      <c r="N12" s="13">
        <f>SUM(N7:N11)</f>
        <v>291000</v>
      </c>
      <c r="O12" s="4"/>
      <c r="P12" s="3">
        <f>SUM(P7:P11)</f>
        <v>255005.2</v>
      </c>
      <c r="Q12" s="4"/>
      <c r="R12" s="13">
        <f>SUM(R7:R11)</f>
        <v>220450</v>
      </c>
      <c r="S12" s="4"/>
      <c r="T12" s="3">
        <f>SUM(T7:T11)</f>
        <v>240598</v>
      </c>
      <c r="U12" s="4"/>
      <c r="V12" s="3">
        <f>SUM(V7:V11)</f>
        <v>207600</v>
      </c>
      <c r="X12" s="17"/>
      <c r="Z12" s="3"/>
    </row>
    <row r="13" spans="1:24" ht="15.75">
      <c r="A13" s="10" t="s">
        <v>9</v>
      </c>
      <c r="B13" s="13"/>
      <c r="C13" s="10"/>
      <c r="D13" s="32"/>
      <c r="E13" s="10"/>
      <c r="F13" s="13"/>
      <c r="G13" s="32"/>
      <c r="H13" s="32"/>
      <c r="I13" s="32"/>
      <c r="K13" s="32"/>
      <c r="L13" s="32"/>
      <c r="M13" s="32"/>
      <c r="O13" s="12"/>
      <c r="Q13" s="4"/>
      <c r="R13" s="13"/>
      <c r="S13" s="4"/>
      <c r="U13" s="4"/>
      <c r="X13" s="17"/>
    </row>
    <row r="14" spans="1:24" ht="16.5" thickBot="1">
      <c r="A14" s="4" t="s">
        <v>42</v>
      </c>
      <c r="B14" s="20">
        <f>CEILING(B9/1.37,1000)-3500</f>
        <v>53500</v>
      </c>
      <c r="C14" s="4"/>
      <c r="D14" s="33">
        <f>506.55+3795.08+65+43+5875.97+299.2+6460.15+16537.09+4891.92+1788.99+1425.55+7266.24+6335.58-9.22</f>
        <v>55281.1</v>
      </c>
      <c r="E14" s="4"/>
      <c r="F14" s="20">
        <f>CEILING(F9/1.37,1000)-1500</f>
        <v>55500</v>
      </c>
      <c r="G14" s="30"/>
      <c r="H14" s="33">
        <f>1002.64+4694.16+149+5066.94+7612.48+14216.97+5454.76+2337.94+1262.87+7220.67+8016.45+1199.28-31.15</f>
        <v>58203.01</v>
      </c>
      <c r="I14" s="30"/>
      <c r="J14" s="20">
        <f>CEILING(J9/1.37,1000)</f>
        <v>53000</v>
      </c>
      <c r="K14" s="30"/>
      <c r="L14" s="33">
        <v>53993</v>
      </c>
      <c r="M14" s="30"/>
      <c r="N14" s="20">
        <v>51000</v>
      </c>
      <c r="O14" s="4"/>
      <c r="P14" s="15">
        <v>43882</v>
      </c>
      <c r="Q14" s="4"/>
      <c r="R14" s="20">
        <v>38000</v>
      </c>
      <c r="S14" s="4"/>
      <c r="T14" s="15">
        <v>48500</v>
      </c>
      <c r="U14" s="11"/>
      <c r="V14" s="15">
        <v>36800</v>
      </c>
      <c r="X14" s="17" t="s">
        <v>13</v>
      </c>
    </row>
    <row r="15" spans="1:24" ht="15.75">
      <c r="A15" s="4"/>
      <c r="B15" s="13">
        <f>SUM(B14:B14)</f>
        <v>53500</v>
      </c>
      <c r="C15" s="4"/>
      <c r="D15" s="37">
        <f>SUM(D14:D14)</f>
        <v>55281.1</v>
      </c>
      <c r="E15" s="4"/>
      <c r="F15" s="13">
        <f>SUM(F14:F14)</f>
        <v>55500</v>
      </c>
      <c r="G15" s="30"/>
      <c r="H15" s="37">
        <f>SUM(H14:H14)</f>
        <v>58203.01</v>
      </c>
      <c r="I15" s="30"/>
      <c r="J15" s="13">
        <f>SUM(J14:J14)</f>
        <v>53000</v>
      </c>
      <c r="K15" s="30"/>
      <c r="L15" s="37">
        <f>SUM(L14:L14)</f>
        <v>53993</v>
      </c>
      <c r="M15" s="30"/>
      <c r="N15" s="13">
        <f>SUM(N14:N14)</f>
        <v>51000</v>
      </c>
      <c r="O15" s="4"/>
      <c r="P15" s="3">
        <f>SUM(P14:P14)</f>
        <v>43882</v>
      </c>
      <c r="Q15" s="4"/>
      <c r="R15" s="13">
        <f>SUM(R14:R14)</f>
        <v>38000</v>
      </c>
      <c r="S15" s="4"/>
      <c r="T15" s="3">
        <f>SUM(T14:T14)</f>
        <v>48500</v>
      </c>
      <c r="U15" s="4"/>
      <c r="V15" s="3">
        <f>SUM(V14:V14)</f>
        <v>36800</v>
      </c>
      <c r="X15" s="17"/>
    </row>
    <row r="16" spans="1:24" ht="15.75">
      <c r="A16" s="10" t="s">
        <v>19</v>
      </c>
      <c r="B16" s="13"/>
      <c r="C16" s="10"/>
      <c r="D16" s="32"/>
      <c r="E16" s="10"/>
      <c r="F16" s="13"/>
      <c r="G16" s="32"/>
      <c r="H16" s="32"/>
      <c r="I16" s="32"/>
      <c r="K16" s="32"/>
      <c r="L16" s="32"/>
      <c r="M16" s="32"/>
      <c r="O16" s="10"/>
      <c r="Q16" s="4"/>
      <c r="R16" s="13"/>
      <c r="S16" s="4"/>
      <c r="U16" s="11"/>
      <c r="X16" s="17"/>
    </row>
    <row r="17" spans="1:24" ht="15.75">
      <c r="A17" s="4" t="s">
        <v>1</v>
      </c>
      <c r="B17" s="13">
        <v>69000</v>
      </c>
      <c r="C17" s="4"/>
      <c r="D17" s="30">
        <v>84685.85</v>
      </c>
      <c r="E17" s="4"/>
      <c r="F17" s="13">
        <v>85000</v>
      </c>
      <c r="G17" s="30"/>
      <c r="H17" s="13">
        <v>105468.61</v>
      </c>
      <c r="I17" s="30"/>
      <c r="J17" s="13">
        <v>100000</v>
      </c>
      <c r="K17" s="30"/>
      <c r="L17" s="13">
        <v>77809.57</v>
      </c>
      <c r="M17" s="30"/>
      <c r="N17" s="13">
        <v>78500</v>
      </c>
      <c r="O17" s="4"/>
      <c r="P17" s="3">
        <v>79751</v>
      </c>
      <c r="Q17" s="4"/>
      <c r="R17" s="13">
        <v>72000</v>
      </c>
      <c r="S17" s="4"/>
      <c r="T17" s="3">
        <v>73155</v>
      </c>
      <c r="U17" s="11"/>
      <c r="V17" s="3">
        <v>70000</v>
      </c>
      <c r="X17" s="17" t="s">
        <v>13</v>
      </c>
    </row>
    <row r="18" spans="1:24" ht="15.75">
      <c r="A18" s="4" t="s">
        <v>20</v>
      </c>
      <c r="B18" s="13">
        <v>0</v>
      </c>
      <c r="C18" s="4"/>
      <c r="D18" s="30">
        <v>0</v>
      </c>
      <c r="E18" s="4"/>
      <c r="F18" s="13">
        <v>1000</v>
      </c>
      <c r="G18" s="30"/>
      <c r="H18" s="13">
        <v>0</v>
      </c>
      <c r="I18" s="30"/>
      <c r="J18" s="13">
        <v>1000</v>
      </c>
      <c r="K18" s="30"/>
      <c r="L18" s="13">
        <v>900</v>
      </c>
      <c r="M18" s="30"/>
      <c r="N18" s="13">
        <v>2000</v>
      </c>
      <c r="O18" s="4"/>
      <c r="P18" s="3">
        <f>1910+335-795</f>
        <v>1450</v>
      </c>
      <c r="Q18" s="4"/>
      <c r="R18" s="13">
        <v>2000</v>
      </c>
      <c r="S18" s="4"/>
      <c r="T18" s="3">
        <v>2015</v>
      </c>
      <c r="U18" s="11"/>
      <c r="V18" s="3">
        <v>2000</v>
      </c>
      <c r="X18" s="17"/>
    </row>
    <row r="19" spans="1:24" ht="16.5" thickBot="1">
      <c r="A19" s="4" t="s">
        <v>21</v>
      </c>
      <c r="B19" s="20">
        <v>47000</v>
      </c>
      <c r="C19" s="4"/>
      <c r="D19" s="33">
        <v>26165.35</v>
      </c>
      <c r="E19" s="4"/>
      <c r="F19" s="20">
        <v>31000</v>
      </c>
      <c r="G19" s="30"/>
      <c r="H19" s="20">
        <v>24549.6</v>
      </c>
      <c r="I19" s="30"/>
      <c r="J19" s="20">
        <v>25000</v>
      </c>
      <c r="K19" s="30"/>
      <c r="L19" s="20">
        <v>25588.65</v>
      </c>
      <c r="M19" s="30"/>
      <c r="N19" s="20">
        <v>23000</v>
      </c>
      <c r="O19" s="4"/>
      <c r="P19" s="15">
        <v>13384</v>
      </c>
      <c r="Q19" s="4"/>
      <c r="R19" s="20">
        <v>12000</v>
      </c>
      <c r="S19" s="4"/>
      <c r="T19" s="15">
        <v>11515</v>
      </c>
      <c r="U19" s="4"/>
      <c r="V19" s="15">
        <v>12500</v>
      </c>
      <c r="X19" s="17" t="s">
        <v>13</v>
      </c>
    </row>
    <row r="20" spans="1:24" ht="15.75">
      <c r="A20" s="4"/>
      <c r="B20" s="13">
        <f>SUM(B16:B19)</f>
        <v>116000</v>
      </c>
      <c r="C20" s="4"/>
      <c r="D20" s="30">
        <f>SUM(D17:D19)</f>
        <v>110851.20000000001</v>
      </c>
      <c r="E20" s="4"/>
      <c r="F20" s="13">
        <f>SUM(F16:F19)</f>
        <v>117000</v>
      </c>
      <c r="G20" s="30"/>
      <c r="H20" s="13">
        <f>SUM(H16:H19)</f>
        <v>130018.20999999999</v>
      </c>
      <c r="I20" s="30"/>
      <c r="J20" s="13">
        <f>SUM(J16:J19)</f>
        <v>126000</v>
      </c>
      <c r="K20" s="30"/>
      <c r="L20" s="13">
        <f>SUM(L16:L19)</f>
        <v>104298.22</v>
      </c>
      <c r="M20" s="30"/>
      <c r="N20" s="13">
        <f>SUM(N16:N19)</f>
        <v>103500</v>
      </c>
      <c r="O20" s="4"/>
      <c r="P20" s="3">
        <f>SUM(P16:P19)</f>
        <v>94585</v>
      </c>
      <c r="Q20" s="4"/>
      <c r="R20" s="13">
        <f>SUM(R16:R19)</f>
        <v>86000</v>
      </c>
      <c r="S20" s="4"/>
      <c r="T20" s="3">
        <f>SUM(T16:T19)</f>
        <v>86685</v>
      </c>
      <c r="U20" s="4"/>
      <c r="V20" s="3">
        <f>SUM(V16:V19)</f>
        <v>84500</v>
      </c>
      <c r="X20" s="17"/>
    </row>
    <row r="21" spans="1:24" ht="15.75">
      <c r="A21" s="10" t="s">
        <v>10</v>
      </c>
      <c r="B21" s="13"/>
      <c r="C21" s="10"/>
      <c r="D21" s="32"/>
      <c r="E21" s="10"/>
      <c r="F21" s="13"/>
      <c r="G21" s="32"/>
      <c r="H21" s="13"/>
      <c r="I21" s="32"/>
      <c r="K21" s="32"/>
      <c r="L21" s="13"/>
      <c r="M21" s="32"/>
      <c r="O21" s="10"/>
      <c r="Q21" s="4"/>
      <c r="R21" s="13"/>
      <c r="S21" s="4"/>
      <c r="U21" s="4"/>
      <c r="X21" s="17"/>
    </row>
    <row r="22" spans="1:24" ht="15.75">
      <c r="A22" s="4" t="s">
        <v>57</v>
      </c>
      <c r="B22" s="13">
        <v>3000</v>
      </c>
      <c r="C22" s="4"/>
      <c r="D22" s="30">
        <v>3062</v>
      </c>
      <c r="E22" s="4"/>
      <c r="F22" s="13">
        <v>2500</v>
      </c>
      <c r="G22" s="30"/>
      <c r="H22" s="13">
        <v>2208</v>
      </c>
      <c r="I22" s="30"/>
      <c r="J22" s="13">
        <v>0</v>
      </c>
      <c r="K22" s="30"/>
      <c r="L22" s="13">
        <v>0</v>
      </c>
      <c r="M22" s="30"/>
      <c r="N22" s="13">
        <v>0</v>
      </c>
      <c r="O22" s="4"/>
      <c r="P22" s="3">
        <v>213</v>
      </c>
      <c r="Q22" s="4"/>
      <c r="R22" s="13">
        <v>1500</v>
      </c>
      <c r="S22" s="4"/>
      <c r="T22" s="3">
        <v>0</v>
      </c>
      <c r="U22" s="4"/>
      <c r="V22" s="3">
        <v>3000</v>
      </c>
      <c r="X22" s="17" t="s">
        <v>13</v>
      </c>
    </row>
    <row r="23" spans="1:24" ht="15.75">
      <c r="A23" s="4" t="s">
        <v>23</v>
      </c>
      <c r="B23" s="13">
        <v>0</v>
      </c>
      <c r="C23" s="4"/>
      <c r="D23" s="30">
        <v>0</v>
      </c>
      <c r="E23" s="4"/>
      <c r="F23" s="13">
        <v>0</v>
      </c>
      <c r="G23" s="30"/>
      <c r="H23" s="13">
        <v>0</v>
      </c>
      <c r="I23" s="30"/>
      <c r="J23" s="13">
        <v>3630</v>
      </c>
      <c r="K23" s="30"/>
      <c r="L23" s="13">
        <v>3630</v>
      </c>
      <c r="M23" s="30"/>
      <c r="N23" s="13">
        <v>7500</v>
      </c>
      <c r="O23" s="4"/>
      <c r="P23" s="3">
        <v>3630</v>
      </c>
      <c r="Q23" s="4"/>
      <c r="R23" s="13">
        <v>3630</v>
      </c>
      <c r="S23" s="4"/>
      <c r="T23" s="3">
        <v>3630</v>
      </c>
      <c r="U23" s="4"/>
      <c r="V23" s="3">
        <v>3630</v>
      </c>
      <c r="X23" s="17"/>
    </row>
    <row r="24" spans="1:24" ht="15.75">
      <c r="A24" s="4" t="s">
        <v>24</v>
      </c>
      <c r="B24" s="13">
        <v>4000</v>
      </c>
      <c r="C24" s="4"/>
      <c r="D24" s="30">
        <v>3873.95</v>
      </c>
      <c r="E24" s="4"/>
      <c r="F24" s="13">
        <v>4500</v>
      </c>
      <c r="G24" s="30"/>
      <c r="H24" s="13">
        <v>4095.04</v>
      </c>
      <c r="I24" s="30"/>
      <c r="J24" s="13">
        <v>6000</v>
      </c>
      <c r="K24" s="30"/>
      <c r="L24" s="13">
        <v>6804.39</v>
      </c>
      <c r="M24" s="30"/>
      <c r="N24" s="13">
        <v>6500</v>
      </c>
      <c r="O24" s="4"/>
      <c r="P24" s="3">
        <v>5661</v>
      </c>
      <c r="Q24" s="4"/>
      <c r="R24" s="13">
        <v>4000</v>
      </c>
      <c r="S24" s="4"/>
      <c r="T24" s="3">
        <v>3796</v>
      </c>
      <c r="U24" s="4"/>
      <c r="V24" s="3">
        <v>4000</v>
      </c>
      <c r="X24" s="17"/>
    </row>
    <row r="25" spans="1:24" ht="15.75">
      <c r="A25" s="4" t="s">
        <v>0</v>
      </c>
      <c r="B25" s="13">
        <v>4500</v>
      </c>
      <c r="C25" s="4"/>
      <c r="D25" s="30">
        <v>4701.96</v>
      </c>
      <c r="E25" s="4"/>
      <c r="F25" s="13">
        <v>3500</v>
      </c>
      <c r="G25" s="30"/>
      <c r="H25" s="13">
        <v>4872.55</v>
      </c>
      <c r="I25" s="30"/>
      <c r="J25" s="13">
        <v>4000</v>
      </c>
      <c r="K25" s="30"/>
      <c r="L25" s="13">
        <v>4872.64</v>
      </c>
      <c r="M25" s="30"/>
      <c r="N25" s="13">
        <v>4000</v>
      </c>
      <c r="O25" s="4"/>
      <c r="P25" s="3">
        <v>2760</v>
      </c>
      <c r="Q25" s="4"/>
      <c r="R25" s="13">
        <v>4250</v>
      </c>
      <c r="S25" s="4"/>
      <c r="T25" s="3">
        <v>5231</v>
      </c>
      <c r="U25" s="4"/>
      <c r="V25" s="3">
        <v>4250</v>
      </c>
      <c r="X25" s="17"/>
    </row>
    <row r="26" spans="1:24" ht="15.75">
      <c r="A26" s="4" t="s">
        <v>11</v>
      </c>
      <c r="B26" s="13">
        <v>5000</v>
      </c>
      <c r="C26" s="4"/>
      <c r="D26" s="30">
        <v>5282.34</v>
      </c>
      <c r="E26" s="4"/>
      <c r="F26" s="13">
        <v>6500</v>
      </c>
      <c r="G26" s="30"/>
      <c r="H26" s="13">
        <v>7174.77</v>
      </c>
      <c r="I26" s="30"/>
      <c r="J26" s="13">
        <v>6370</v>
      </c>
      <c r="K26" s="30"/>
      <c r="L26" s="13">
        <v>6492.12</v>
      </c>
      <c r="M26" s="30"/>
      <c r="N26" s="13">
        <v>6500</v>
      </c>
      <c r="O26" s="4"/>
      <c r="P26" s="3">
        <v>4556</v>
      </c>
      <c r="Q26" s="4"/>
      <c r="R26" s="13">
        <v>3000</v>
      </c>
      <c r="S26" s="4"/>
      <c r="T26" s="3">
        <v>2850</v>
      </c>
      <c r="U26" s="4"/>
      <c r="V26" s="3">
        <v>1650</v>
      </c>
      <c r="X26" s="17"/>
    </row>
    <row r="27" spans="1:27" ht="15.75">
      <c r="A27" s="4" t="s">
        <v>25</v>
      </c>
      <c r="B27" s="13">
        <v>11000</v>
      </c>
      <c r="C27" s="4"/>
      <c r="D27" s="30">
        <v>11824.89</v>
      </c>
      <c r="E27" s="4"/>
      <c r="F27" s="13">
        <v>11000</v>
      </c>
      <c r="G27" s="30"/>
      <c r="H27" s="13">
        <v>11116.13</v>
      </c>
      <c r="I27" s="30"/>
      <c r="J27" s="13">
        <f>7500+1000</f>
        <v>8500</v>
      </c>
      <c r="K27" s="30"/>
      <c r="L27" s="13">
        <v>10630.65</v>
      </c>
      <c r="M27" s="30"/>
      <c r="N27" s="13">
        <v>7500</v>
      </c>
      <c r="O27" s="4"/>
      <c r="P27" s="3">
        <v>11297</v>
      </c>
      <c r="Q27" s="4"/>
      <c r="R27" s="13">
        <v>17500</v>
      </c>
      <c r="S27" s="4"/>
      <c r="T27" s="3">
        <v>17657</v>
      </c>
      <c r="U27" s="4"/>
      <c r="V27" s="3">
        <v>13000</v>
      </c>
      <c r="X27" s="18" t="s">
        <v>13</v>
      </c>
      <c r="AA27" s="1" t="s">
        <v>13</v>
      </c>
    </row>
    <row r="28" spans="1:24" ht="15.75">
      <c r="A28" s="4" t="s">
        <v>26</v>
      </c>
      <c r="B28" s="13">
        <v>2000</v>
      </c>
      <c r="C28" s="4"/>
      <c r="D28" s="30">
        <v>3779.03</v>
      </c>
      <c r="E28" s="4"/>
      <c r="F28" s="13">
        <f>3250-1000</f>
        <v>2250</v>
      </c>
      <c r="G28" s="30"/>
      <c r="H28" s="13">
        <v>3250.44</v>
      </c>
      <c r="I28" s="30"/>
      <c r="J28" s="13">
        <f>1500+1000</f>
        <v>2500</v>
      </c>
      <c r="K28" s="30"/>
      <c r="L28" s="13">
        <v>4241.24</v>
      </c>
      <c r="M28" s="30"/>
      <c r="N28" s="13">
        <v>1500</v>
      </c>
      <c r="O28" s="4"/>
      <c r="P28" s="3">
        <v>1766</v>
      </c>
      <c r="Q28" s="4"/>
      <c r="R28" s="13">
        <v>1250</v>
      </c>
      <c r="S28" s="4"/>
      <c r="T28" s="3">
        <v>1352</v>
      </c>
      <c r="U28" s="4"/>
      <c r="V28" s="3">
        <v>1750</v>
      </c>
      <c r="X28" s="18"/>
    </row>
    <row r="29" spans="1:24" ht="16.5" thickBot="1">
      <c r="A29" s="4" t="s">
        <v>2</v>
      </c>
      <c r="B29" s="20">
        <v>10000</v>
      </c>
      <c r="C29" s="4"/>
      <c r="D29" s="33">
        <v>14112.95</v>
      </c>
      <c r="E29" s="4"/>
      <c r="F29" s="20">
        <v>7500</v>
      </c>
      <c r="G29" s="30"/>
      <c r="H29" s="20">
        <v>10639.98</v>
      </c>
      <c r="I29" s="30"/>
      <c r="J29" s="20">
        <v>6250</v>
      </c>
      <c r="K29" s="30"/>
      <c r="L29" s="20">
        <v>7224.45</v>
      </c>
      <c r="M29" s="30"/>
      <c r="N29" s="20">
        <v>6500</v>
      </c>
      <c r="O29" s="4"/>
      <c r="P29" s="15">
        <v>8846</v>
      </c>
      <c r="Q29" s="4"/>
      <c r="R29" s="20">
        <v>5000</v>
      </c>
      <c r="S29" s="4"/>
      <c r="T29" s="15">
        <v>8445</v>
      </c>
      <c r="U29" s="4"/>
      <c r="V29" s="15">
        <v>5000</v>
      </c>
      <c r="X29" s="17"/>
    </row>
    <row r="30" spans="1:24" ht="15.75" customHeight="1">
      <c r="A30" s="4"/>
      <c r="B30" s="13">
        <f>SUM(B21:B29)</f>
        <v>39500</v>
      </c>
      <c r="C30" s="4"/>
      <c r="D30" s="30">
        <f>SUM(D22:D29)</f>
        <v>46637.119999999995</v>
      </c>
      <c r="E30" s="4"/>
      <c r="F30" s="13">
        <f>SUM(F21:F29)</f>
        <v>37750</v>
      </c>
      <c r="G30" s="30"/>
      <c r="H30" s="13">
        <f>SUM(H21:H29)</f>
        <v>43356.909999999996</v>
      </c>
      <c r="I30" s="30"/>
      <c r="J30" s="13">
        <f>SUM(J21:J29)</f>
        <v>37250</v>
      </c>
      <c r="K30" s="30"/>
      <c r="L30" s="13">
        <f>SUM(L21:L29)</f>
        <v>43895.48999999999</v>
      </c>
      <c r="M30" s="30"/>
      <c r="N30" s="13">
        <f>SUM(N21:N29)</f>
        <v>40000</v>
      </c>
      <c r="O30" s="4"/>
      <c r="P30" s="3">
        <f>SUM(P21:P29)</f>
        <v>38729</v>
      </c>
      <c r="Q30" s="4"/>
      <c r="R30" s="13">
        <f>SUM(R21:R29)</f>
        <v>40130</v>
      </c>
      <c r="S30" s="4"/>
      <c r="T30" s="3">
        <f>SUM(T21:T29)</f>
        <v>42961</v>
      </c>
      <c r="U30" s="4"/>
      <c r="V30" s="3">
        <f>SUM(V21:V29)</f>
        <v>36280</v>
      </c>
      <c r="X30" s="17"/>
    </row>
    <row r="31" spans="1:24" ht="15.75">
      <c r="A31" s="10" t="s">
        <v>27</v>
      </c>
      <c r="B31" s="13"/>
      <c r="C31" s="10"/>
      <c r="D31" s="32"/>
      <c r="E31" s="10"/>
      <c r="F31" s="13"/>
      <c r="G31" s="32"/>
      <c r="H31" s="32"/>
      <c r="I31" s="32"/>
      <c r="K31" s="32"/>
      <c r="L31" s="32"/>
      <c r="M31" s="32"/>
      <c r="O31" s="10"/>
      <c r="Q31" s="4"/>
      <c r="R31" s="13"/>
      <c r="S31" s="4"/>
      <c r="U31" s="4"/>
      <c r="X31" s="17"/>
    </row>
    <row r="32" spans="1:24" ht="16.5" thickBot="1">
      <c r="A32" s="4" t="s">
        <v>50</v>
      </c>
      <c r="B32" s="24">
        <v>49000</v>
      </c>
      <c r="C32" s="4"/>
      <c r="D32" s="30">
        <f>20030.92+27314+2288.96</f>
        <v>49633.88</v>
      </c>
      <c r="E32" s="4"/>
      <c r="F32" s="24">
        <v>45000</v>
      </c>
      <c r="G32" s="41"/>
      <c r="H32" s="24">
        <f>16035.24+26752.2+2826.43</f>
        <v>45613.87</v>
      </c>
      <c r="I32" s="41"/>
      <c r="J32" s="24">
        <v>40000</v>
      </c>
      <c r="K32" s="41"/>
      <c r="L32" s="24">
        <v>43697</v>
      </c>
      <c r="M32" s="41"/>
      <c r="N32" s="24">
        <v>40000</v>
      </c>
      <c r="O32" s="43"/>
      <c r="P32" s="15">
        <f>5922.56+24166.73+440.74</f>
        <v>30530.030000000002</v>
      </c>
      <c r="Q32" s="4"/>
      <c r="R32" s="20">
        <v>23500</v>
      </c>
      <c r="S32" s="4"/>
      <c r="T32" s="15">
        <v>17436</v>
      </c>
      <c r="U32" s="4"/>
      <c r="V32" s="15">
        <v>17000</v>
      </c>
      <c r="X32" s="17"/>
    </row>
    <row r="33" spans="1:24" ht="16.5" thickBot="1">
      <c r="A33" s="4" t="s">
        <v>53</v>
      </c>
      <c r="B33" s="20">
        <v>3630</v>
      </c>
      <c r="C33" s="4"/>
      <c r="D33" s="33">
        <v>3630</v>
      </c>
      <c r="E33" s="4"/>
      <c r="F33" s="20">
        <v>3630</v>
      </c>
      <c r="G33" s="30"/>
      <c r="H33" s="20">
        <v>2722.5</v>
      </c>
      <c r="I33" s="30"/>
      <c r="J33" s="20">
        <v>3630</v>
      </c>
      <c r="K33" s="30"/>
      <c r="L33" s="20">
        <v>0</v>
      </c>
      <c r="M33" s="30"/>
      <c r="N33" s="20">
        <v>0</v>
      </c>
      <c r="O33" s="4"/>
      <c r="P33" s="42"/>
      <c r="Q33" s="4"/>
      <c r="R33" s="24"/>
      <c r="S33" s="4"/>
      <c r="T33" s="42"/>
      <c r="U33" s="4"/>
      <c r="V33" s="42"/>
      <c r="X33" s="17"/>
    </row>
    <row r="34" spans="1:24" ht="15.75">
      <c r="A34" s="4"/>
      <c r="B34" s="13">
        <f>SUM(B32:B33)</f>
        <v>52630</v>
      </c>
      <c r="C34" s="4"/>
      <c r="D34" s="30">
        <f>SUM(D32:D33)</f>
        <v>53263.88</v>
      </c>
      <c r="E34" s="4"/>
      <c r="F34" s="13">
        <f>SUM(F32:F33)</f>
        <v>48630</v>
      </c>
      <c r="G34" s="30"/>
      <c r="H34" s="13">
        <f>SUM(H32:H33)</f>
        <v>48336.37</v>
      </c>
      <c r="I34" s="30"/>
      <c r="J34" s="13">
        <f>SUM(J32:J33)</f>
        <v>43630</v>
      </c>
      <c r="K34" s="30"/>
      <c r="L34" s="13">
        <f>SUM(L32:L33)</f>
        <v>43697</v>
      </c>
      <c r="M34" s="30"/>
      <c r="N34" s="13">
        <f>SUM(N32:N33)</f>
        <v>40000</v>
      </c>
      <c r="O34" s="4"/>
      <c r="P34" s="3">
        <f>SUM(P31:P32)</f>
        <v>30530.030000000002</v>
      </c>
      <c r="Q34" s="4"/>
      <c r="R34" s="13">
        <f>SUM(R31:R32)</f>
        <v>23500</v>
      </c>
      <c r="S34" s="4"/>
      <c r="T34" s="3">
        <f>SUM(T31:T32)</f>
        <v>17436</v>
      </c>
      <c r="U34" s="4"/>
      <c r="V34" s="3">
        <f>SUM(V31:V32)</f>
        <v>17000</v>
      </c>
      <c r="X34" s="17"/>
    </row>
    <row r="35" spans="1:24" ht="15.75">
      <c r="A35" s="10" t="s">
        <v>28</v>
      </c>
      <c r="B35" s="13"/>
      <c r="C35" s="10"/>
      <c r="D35" s="32"/>
      <c r="E35" s="10"/>
      <c r="F35" s="13"/>
      <c r="G35" s="32"/>
      <c r="H35" s="13"/>
      <c r="I35" s="32"/>
      <c r="K35" s="32"/>
      <c r="L35" s="13"/>
      <c r="M35" s="32"/>
      <c r="O35" s="10"/>
      <c r="Q35" s="4"/>
      <c r="R35" s="13"/>
      <c r="S35" s="4"/>
      <c r="U35" s="4"/>
      <c r="X35" s="17"/>
    </row>
    <row r="36" spans="1:24" ht="15.75">
      <c r="A36" s="4" t="s">
        <v>29</v>
      </c>
      <c r="B36" s="13">
        <v>24000</v>
      </c>
      <c r="C36" s="4"/>
      <c r="D36" s="30">
        <v>25807.11</v>
      </c>
      <c r="E36" s="4"/>
      <c r="F36" s="13">
        <v>24500</v>
      </c>
      <c r="G36" s="30"/>
      <c r="H36" s="13">
        <v>26460.31</v>
      </c>
      <c r="I36" s="30"/>
      <c r="J36" s="13">
        <v>25000</v>
      </c>
      <c r="K36" s="30"/>
      <c r="L36" s="13">
        <v>24032.3</v>
      </c>
      <c r="M36" s="30"/>
      <c r="N36" s="13">
        <v>25000</v>
      </c>
      <c r="O36" s="4"/>
      <c r="P36" s="3">
        <v>20061</v>
      </c>
      <c r="Q36" s="4"/>
      <c r="R36" s="13">
        <v>20000</v>
      </c>
      <c r="S36" s="4"/>
      <c r="T36" s="3">
        <v>18364</v>
      </c>
      <c r="U36" s="4"/>
      <c r="V36" s="3">
        <v>16250</v>
      </c>
      <c r="X36" s="17"/>
    </row>
    <row r="37" spans="1:24" ht="15.75">
      <c r="A37" s="4" t="s">
        <v>30</v>
      </c>
      <c r="B37" s="13">
        <v>100</v>
      </c>
      <c r="C37" s="4"/>
      <c r="D37" s="30">
        <v>70</v>
      </c>
      <c r="E37" s="4"/>
      <c r="F37" s="13">
        <v>150</v>
      </c>
      <c r="G37" s="30"/>
      <c r="H37" s="13">
        <v>150</v>
      </c>
      <c r="I37" s="30"/>
      <c r="J37" s="13">
        <v>250</v>
      </c>
      <c r="K37" s="30"/>
      <c r="L37" s="13">
        <v>147.5</v>
      </c>
      <c r="M37" s="30"/>
      <c r="N37" s="13">
        <v>280</v>
      </c>
      <c r="O37" s="4"/>
      <c r="P37" s="3">
        <v>603</v>
      </c>
      <c r="Q37" s="4"/>
      <c r="R37" s="13">
        <v>500</v>
      </c>
      <c r="S37" s="4"/>
      <c r="T37" s="3">
        <v>308</v>
      </c>
      <c r="U37" s="4"/>
      <c r="V37" s="3">
        <v>150</v>
      </c>
      <c r="X37" s="17"/>
    </row>
    <row r="38" spans="1:24" ht="16.5" thickBot="1">
      <c r="A38" s="4" t="s">
        <v>31</v>
      </c>
      <c r="B38" s="20">
        <v>500</v>
      </c>
      <c r="C38" s="4"/>
      <c r="D38" s="33">
        <v>910</v>
      </c>
      <c r="E38" s="4"/>
      <c r="F38" s="20">
        <v>500</v>
      </c>
      <c r="G38" s="30"/>
      <c r="H38" s="20">
        <v>503.68</v>
      </c>
      <c r="I38" s="30"/>
      <c r="J38" s="20">
        <v>750</v>
      </c>
      <c r="K38" s="30"/>
      <c r="L38" s="20">
        <v>851.88</v>
      </c>
      <c r="M38" s="30"/>
      <c r="N38" s="20">
        <v>1000</v>
      </c>
      <c r="O38" s="4"/>
      <c r="P38" s="15">
        <v>2157</v>
      </c>
      <c r="Q38" s="4"/>
      <c r="R38" s="20">
        <v>0</v>
      </c>
      <c r="S38" s="4"/>
      <c r="T38" s="15">
        <v>2096</v>
      </c>
      <c r="U38" s="4"/>
      <c r="V38" s="15">
        <v>1250</v>
      </c>
      <c r="X38" s="17"/>
    </row>
    <row r="39" spans="1:26" ht="15.75">
      <c r="A39" s="4"/>
      <c r="B39" s="13">
        <f>SUM(B35:B38)</f>
        <v>24600</v>
      </c>
      <c r="C39" s="4"/>
      <c r="D39" s="30">
        <f>SUM(D36:D38)</f>
        <v>26787.11</v>
      </c>
      <c r="E39" s="4"/>
      <c r="F39" s="13">
        <f>SUM(F35:F38)</f>
        <v>25150</v>
      </c>
      <c r="G39" s="30"/>
      <c r="H39" s="13">
        <f>SUM(H35:H38)</f>
        <v>27113.99</v>
      </c>
      <c r="I39" s="30"/>
      <c r="J39" s="13">
        <f>SUM(J35:J38)</f>
        <v>26000</v>
      </c>
      <c r="K39" s="30"/>
      <c r="L39" s="13">
        <f>SUM(L35:L38)</f>
        <v>25031.68</v>
      </c>
      <c r="M39" s="30"/>
      <c r="N39" s="13">
        <f>SUM(N35:N38)</f>
        <v>26280</v>
      </c>
      <c r="O39" s="4"/>
      <c r="P39" s="3">
        <f>SUM(P35:P38)</f>
        <v>22821</v>
      </c>
      <c r="Q39" s="4"/>
      <c r="R39" s="13">
        <f>SUM(R35:R38)</f>
        <v>20500</v>
      </c>
      <c r="S39" s="4"/>
      <c r="T39" s="3">
        <f>SUM(T35:T38)</f>
        <v>20768</v>
      </c>
      <c r="U39" s="4"/>
      <c r="V39" s="3">
        <f>SUM(V35:V38)</f>
        <v>17650</v>
      </c>
      <c r="X39" s="18" t="s">
        <v>13</v>
      </c>
      <c r="Z39" s="1" t="s">
        <v>13</v>
      </c>
    </row>
    <row r="40" spans="1:24" ht="15.75">
      <c r="A40" s="10" t="s">
        <v>32</v>
      </c>
      <c r="B40" s="13"/>
      <c r="C40" s="10"/>
      <c r="D40" s="32"/>
      <c r="E40" s="10"/>
      <c r="F40" s="13"/>
      <c r="G40" s="32"/>
      <c r="H40" s="32"/>
      <c r="I40" s="32"/>
      <c r="K40" s="32"/>
      <c r="L40" s="32"/>
      <c r="M40" s="32"/>
      <c r="O40" s="10"/>
      <c r="Q40" s="4"/>
      <c r="R40" s="13"/>
      <c r="S40" s="4"/>
      <c r="U40" s="4"/>
      <c r="X40" s="17"/>
    </row>
    <row r="41" spans="1:24" ht="15.75">
      <c r="A41" s="4" t="s">
        <v>33</v>
      </c>
      <c r="B41" s="13">
        <v>250</v>
      </c>
      <c r="C41" s="4"/>
      <c r="D41" s="30">
        <v>627.73</v>
      </c>
      <c r="E41" s="4"/>
      <c r="F41" s="13">
        <v>250</v>
      </c>
      <c r="G41" s="30"/>
      <c r="H41" s="13">
        <v>491.58</v>
      </c>
      <c r="I41" s="30"/>
      <c r="J41" s="13">
        <v>250</v>
      </c>
      <c r="K41" s="30"/>
      <c r="L41" s="13">
        <f>302.5+189.79</f>
        <v>492.28999999999996</v>
      </c>
      <c r="M41" s="30"/>
      <c r="N41" s="13">
        <v>250</v>
      </c>
      <c r="O41" s="4"/>
      <c r="P41" s="3">
        <v>277</v>
      </c>
      <c r="Q41" s="4"/>
      <c r="R41" s="13">
        <v>225</v>
      </c>
      <c r="S41" s="4"/>
      <c r="T41" s="3">
        <v>224</v>
      </c>
      <c r="U41" s="4"/>
      <c r="V41" s="3">
        <v>200</v>
      </c>
      <c r="X41" s="17"/>
    </row>
    <row r="42" spans="1:24" ht="15.75">
      <c r="A42" s="4" t="s">
        <v>48</v>
      </c>
      <c r="B42" s="13">
        <v>3500</v>
      </c>
      <c r="C42" s="4"/>
      <c r="D42" s="30">
        <v>3546.5</v>
      </c>
      <c r="E42" s="4"/>
      <c r="F42" s="13">
        <v>3000</v>
      </c>
      <c r="G42" s="30"/>
      <c r="H42" s="13">
        <v>3196.51</v>
      </c>
      <c r="I42" s="30"/>
      <c r="J42" s="13">
        <v>3000</v>
      </c>
      <c r="K42" s="30"/>
      <c r="L42" s="13">
        <v>2739.75</v>
      </c>
      <c r="M42" s="30"/>
      <c r="N42" s="13">
        <v>3100</v>
      </c>
      <c r="O42" s="4"/>
      <c r="P42" s="3">
        <f>932+332.75+2453.56</f>
        <v>3718.31</v>
      </c>
      <c r="Q42" s="4"/>
      <c r="R42" s="13">
        <v>2500</v>
      </c>
      <c r="S42" s="4"/>
      <c r="T42" s="3">
        <v>1025</v>
      </c>
      <c r="U42" s="4"/>
      <c r="V42" s="3">
        <v>500</v>
      </c>
      <c r="X42" s="17"/>
    </row>
    <row r="43" spans="1:24" ht="16.5" thickBot="1">
      <c r="A43" s="4" t="s">
        <v>49</v>
      </c>
      <c r="B43" s="20">
        <v>250</v>
      </c>
      <c r="C43" s="4"/>
      <c r="D43" s="33">
        <v>248.4</v>
      </c>
      <c r="E43" s="4"/>
      <c r="F43" s="20">
        <v>250</v>
      </c>
      <c r="G43" s="30"/>
      <c r="H43" s="20">
        <v>408.86</v>
      </c>
      <c r="I43" s="30"/>
      <c r="J43" s="20">
        <v>250</v>
      </c>
      <c r="K43" s="30"/>
      <c r="L43" s="20">
        <v>1019.31</v>
      </c>
      <c r="M43" s="30"/>
      <c r="N43" s="20">
        <v>0</v>
      </c>
      <c r="O43" s="4"/>
      <c r="P43" s="15">
        <v>1499</v>
      </c>
      <c r="Q43" s="4"/>
      <c r="R43" s="20">
        <v>0</v>
      </c>
      <c r="S43" s="4"/>
      <c r="T43" s="15">
        <v>-3690</v>
      </c>
      <c r="U43" s="4"/>
      <c r="V43" s="15">
        <v>1250</v>
      </c>
      <c r="X43" s="17"/>
    </row>
    <row r="44" spans="1:26" ht="15.75">
      <c r="A44" s="4"/>
      <c r="B44" s="13">
        <f>SUM(B40:B43)</f>
        <v>4000</v>
      </c>
      <c r="C44" s="4"/>
      <c r="D44" s="30">
        <f>SUM(D41:D43)</f>
        <v>4422.629999999999</v>
      </c>
      <c r="E44" s="4"/>
      <c r="F44" s="13">
        <f>SUM(F40:F43)</f>
        <v>3500</v>
      </c>
      <c r="G44" s="30"/>
      <c r="H44" s="13">
        <f>SUM(H40:H43)</f>
        <v>4096.95</v>
      </c>
      <c r="I44" s="30"/>
      <c r="J44" s="13">
        <f>SUM(J40:J43)</f>
        <v>3500</v>
      </c>
      <c r="K44" s="30"/>
      <c r="L44" s="13">
        <f>SUM(L40:L43)</f>
        <v>4251.35</v>
      </c>
      <c r="M44" s="30"/>
      <c r="N44" s="13">
        <f>SUM(N40:N43)</f>
        <v>3350</v>
      </c>
      <c r="O44" s="4"/>
      <c r="P44" s="3">
        <f>SUM(P40:P43)</f>
        <v>5494.3099999999995</v>
      </c>
      <c r="Q44" s="4"/>
      <c r="R44" s="13">
        <f>SUM(R40:R43)</f>
        <v>2725</v>
      </c>
      <c r="S44" s="4"/>
      <c r="T44" s="3">
        <f>SUM(T40:T43)</f>
        <v>-2441</v>
      </c>
      <c r="U44" s="4"/>
      <c r="V44" s="3">
        <f>SUM(V40:V43)</f>
        <v>1950</v>
      </c>
      <c r="X44" s="18" t="s">
        <v>13</v>
      </c>
      <c r="Z44" s="1" t="s">
        <v>13</v>
      </c>
    </row>
    <row r="45" spans="1:24" ht="15.75">
      <c r="A45" s="10" t="s">
        <v>34</v>
      </c>
      <c r="B45" s="13"/>
      <c r="C45" s="10"/>
      <c r="D45" s="32"/>
      <c r="E45" s="10"/>
      <c r="F45" s="13"/>
      <c r="G45" s="32"/>
      <c r="H45" s="13"/>
      <c r="I45" s="32"/>
      <c r="K45" s="32"/>
      <c r="L45" s="13"/>
      <c r="M45" s="32"/>
      <c r="O45" s="10"/>
      <c r="Q45" s="4"/>
      <c r="R45" s="13"/>
      <c r="S45" s="4"/>
      <c r="U45" s="4"/>
      <c r="X45" s="17"/>
    </row>
    <row r="46" spans="1:24" ht="15.75">
      <c r="A46" s="4" t="s">
        <v>35</v>
      </c>
      <c r="B46" s="13">
        <v>8000</v>
      </c>
      <c r="C46" s="4"/>
      <c r="D46" s="30">
        <v>16357.95</v>
      </c>
      <c r="E46" s="4"/>
      <c r="F46" s="13">
        <v>14500</v>
      </c>
      <c r="G46" s="30"/>
      <c r="H46" s="13">
        <v>8815.49</v>
      </c>
      <c r="I46" s="30"/>
      <c r="J46" s="13">
        <v>10000</v>
      </c>
      <c r="K46" s="30"/>
      <c r="L46" s="13">
        <v>11756.36</v>
      </c>
      <c r="M46" s="30"/>
      <c r="N46" s="13">
        <v>15000</v>
      </c>
      <c r="O46" s="4"/>
      <c r="P46" s="3">
        <v>13629</v>
      </c>
      <c r="Q46" s="4"/>
      <c r="R46" s="13">
        <v>12000</v>
      </c>
      <c r="S46" s="4"/>
      <c r="T46" s="3">
        <v>11047</v>
      </c>
      <c r="U46" s="4"/>
      <c r="V46" s="3">
        <v>7500</v>
      </c>
      <c r="X46" s="17"/>
    </row>
    <row r="47" spans="1:24" ht="15.75">
      <c r="A47" s="4" t="s">
        <v>47</v>
      </c>
      <c r="B47" s="13">
        <v>500</v>
      </c>
      <c r="C47" s="4"/>
      <c r="D47" s="30">
        <v>315</v>
      </c>
      <c r="E47" s="4"/>
      <c r="F47" s="13">
        <v>1500</v>
      </c>
      <c r="G47" s="30"/>
      <c r="H47" s="13">
        <v>1023.5</v>
      </c>
      <c r="I47" s="30"/>
      <c r="J47" s="13">
        <v>1250</v>
      </c>
      <c r="K47" s="30"/>
      <c r="L47" s="13">
        <v>3427.5</v>
      </c>
      <c r="M47" s="30"/>
      <c r="N47" s="13">
        <v>3000</v>
      </c>
      <c r="O47" s="4"/>
      <c r="P47" s="3">
        <v>0</v>
      </c>
      <c r="Q47" s="4"/>
      <c r="R47" s="13">
        <v>0</v>
      </c>
      <c r="S47" s="4"/>
      <c r="T47" s="3">
        <v>0</v>
      </c>
      <c r="U47" s="4"/>
      <c r="V47" s="3">
        <v>0</v>
      </c>
      <c r="X47" s="17"/>
    </row>
    <row r="48" spans="1:24" ht="15.75">
      <c r="A48" s="4" t="s">
        <v>36</v>
      </c>
      <c r="B48" s="13">
        <v>300</v>
      </c>
      <c r="C48" s="4"/>
      <c r="D48" s="30">
        <v>297.4</v>
      </c>
      <c r="E48" s="4"/>
      <c r="F48" s="13">
        <v>750</v>
      </c>
      <c r="G48" s="30"/>
      <c r="H48" s="13">
        <v>740</v>
      </c>
      <c r="I48" s="30"/>
      <c r="J48" s="13">
        <v>750</v>
      </c>
      <c r="K48" s="30"/>
      <c r="L48" s="13">
        <v>716.04</v>
      </c>
      <c r="M48" s="30"/>
      <c r="N48" s="13">
        <v>1000</v>
      </c>
      <c r="O48" s="4"/>
      <c r="P48" s="3">
        <v>507</v>
      </c>
      <c r="Q48" s="4"/>
      <c r="R48" s="13">
        <v>1000</v>
      </c>
      <c r="S48" s="4"/>
      <c r="T48" s="3">
        <v>1165</v>
      </c>
      <c r="U48" s="4"/>
      <c r="V48" s="3">
        <v>500</v>
      </c>
      <c r="X48" s="17"/>
    </row>
    <row r="49" spans="1:24" ht="16.5" thickBot="1">
      <c r="A49" s="4" t="s">
        <v>37</v>
      </c>
      <c r="B49" s="20">
        <v>0</v>
      </c>
      <c r="C49" s="4"/>
      <c r="D49" s="33">
        <v>0</v>
      </c>
      <c r="E49" s="4"/>
      <c r="F49" s="20">
        <v>100</v>
      </c>
      <c r="G49" s="30"/>
      <c r="H49" s="20">
        <v>0</v>
      </c>
      <c r="I49" s="30"/>
      <c r="J49" s="20">
        <v>250</v>
      </c>
      <c r="K49" s="30"/>
      <c r="L49" s="20">
        <v>-158.56</v>
      </c>
      <c r="M49" s="30"/>
      <c r="N49" s="20">
        <v>1000</v>
      </c>
      <c r="O49" s="4"/>
      <c r="P49" s="15">
        <f>287.67+203.8+45.62+173.65+795</f>
        <v>1505.74</v>
      </c>
      <c r="Q49" s="4"/>
      <c r="R49" s="20">
        <v>250</v>
      </c>
      <c r="S49" s="4"/>
      <c r="T49" s="15">
        <f>245+208</f>
        <v>453</v>
      </c>
      <c r="U49" s="4"/>
      <c r="V49" s="15">
        <v>450</v>
      </c>
      <c r="X49" s="17"/>
    </row>
    <row r="50" spans="1:26" ht="15.75">
      <c r="A50" s="4"/>
      <c r="B50" s="13">
        <f>SUM(B45:B49)</f>
        <v>8800</v>
      </c>
      <c r="C50" s="4"/>
      <c r="D50" s="30">
        <f>SUM(D46:D49)</f>
        <v>16970.350000000002</v>
      </c>
      <c r="E50" s="4"/>
      <c r="F50" s="13">
        <f>SUM(F45:F49)</f>
        <v>16850</v>
      </c>
      <c r="G50" s="30"/>
      <c r="H50" s="13">
        <f>SUM(H45:H49)</f>
        <v>10578.99</v>
      </c>
      <c r="I50" s="30"/>
      <c r="J50" s="13">
        <f>SUM(J45:J49)</f>
        <v>12250</v>
      </c>
      <c r="K50" s="30"/>
      <c r="L50" s="13">
        <f>SUM(L45:L49)</f>
        <v>15741.340000000002</v>
      </c>
      <c r="M50" s="30"/>
      <c r="N50" s="13">
        <f>SUM(N45:N49)</f>
        <v>20000</v>
      </c>
      <c r="O50" s="4"/>
      <c r="P50" s="3">
        <f>SUM(P45:P49)</f>
        <v>15641.74</v>
      </c>
      <c r="Q50" s="4"/>
      <c r="R50" s="13">
        <f>SUM(R45:R49)</f>
        <v>13250</v>
      </c>
      <c r="S50" s="4"/>
      <c r="T50" s="3">
        <f>SUM(T45:T49)</f>
        <v>12665</v>
      </c>
      <c r="U50" s="4"/>
      <c r="V50" s="3">
        <f>SUM(V45:V49)</f>
        <v>8450</v>
      </c>
      <c r="X50" s="18" t="s">
        <v>13</v>
      </c>
      <c r="Z50" s="1" t="s">
        <v>13</v>
      </c>
    </row>
    <row r="51" spans="1:24" ht="15.75">
      <c r="A51" s="10" t="s">
        <v>38</v>
      </c>
      <c r="B51" s="13"/>
      <c r="C51" s="10"/>
      <c r="D51" s="32"/>
      <c r="E51" s="10"/>
      <c r="F51" s="13"/>
      <c r="G51" s="32"/>
      <c r="H51" s="13"/>
      <c r="I51" s="32"/>
      <c r="K51" s="32"/>
      <c r="L51" s="13"/>
      <c r="M51" s="32"/>
      <c r="O51" s="10"/>
      <c r="Q51" s="4"/>
      <c r="R51" s="13"/>
      <c r="S51" s="4"/>
      <c r="U51" s="4"/>
      <c r="X51" s="17"/>
    </row>
    <row r="52" spans="1:24" ht="15.75">
      <c r="A52" s="4" t="s">
        <v>39</v>
      </c>
      <c r="B52" s="13">
        <v>5000</v>
      </c>
      <c r="C52" s="4"/>
      <c r="D52" s="30">
        <v>5800.31</v>
      </c>
      <c r="E52" s="4"/>
      <c r="F52" s="13">
        <v>5000</v>
      </c>
      <c r="G52" s="30"/>
      <c r="H52" s="13">
        <v>5042.63</v>
      </c>
      <c r="I52" s="30"/>
      <c r="J52" s="13">
        <v>5000</v>
      </c>
      <c r="K52" s="30"/>
      <c r="L52" s="13">
        <v>4859.16</v>
      </c>
      <c r="M52" s="30"/>
      <c r="N52" s="13">
        <v>5250</v>
      </c>
      <c r="O52" s="4"/>
      <c r="P52" s="3">
        <v>4770</v>
      </c>
      <c r="Q52" s="4"/>
      <c r="R52" s="13">
        <v>3000</v>
      </c>
      <c r="S52" s="4"/>
      <c r="T52" s="3">
        <v>6927</v>
      </c>
      <c r="U52" s="4"/>
      <c r="V52" s="3">
        <v>2850</v>
      </c>
      <c r="X52" s="17"/>
    </row>
    <row r="53" spans="1:24" ht="15.75">
      <c r="A53" s="4" t="s">
        <v>3</v>
      </c>
      <c r="B53" s="13">
        <v>2100</v>
      </c>
      <c r="C53" s="4"/>
      <c r="D53" s="30">
        <v>2395.59</v>
      </c>
      <c r="E53" s="4"/>
      <c r="F53" s="13">
        <v>2250</v>
      </c>
      <c r="G53" s="30"/>
      <c r="H53" s="13">
        <v>2756.65</v>
      </c>
      <c r="I53" s="30"/>
      <c r="J53" s="13">
        <v>2500</v>
      </c>
      <c r="K53" s="30"/>
      <c r="L53" s="13">
        <v>2511.59</v>
      </c>
      <c r="M53" s="30"/>
      <c r="N53" s="13">
        <v>2500</v>
      </c>
      <c r="O53" s="4"/>
      <c r="P53" s="3">
        <v>1937.58</v>
      </c>
      <c r="Q53" s="4"/>
      <c r="R53" s="13">
        <v>1250</v>
      </c>
      <c r="S53" s="4"/>
      <c r="T53" s="3">
        <v>1384</v>
      </c>
      <c r="U53" s="4"/>
      <c r="V53" s="3">
        <v>900</v>
      </c>
      <c r="X53" s="17"/>
    </row>
    <row r="54" spans="1:24" ht="15.75">
      <c r="A54" s="4" t="s">
        <v>43</v>
      </c>
      <c r="B54" s="13">
        <v>100</v>
      </c>
      <c r="C54" s="4"/>
      <c r="D54" s="30">
        <f>849-616.6</f>
        <v>232.39999999999998</v>
      </c>
      <c r="E54" s="4"/>
      <c r="F54" s="13">
        <v>100</v>
      </c>
      <c r="G54" s="30"/>
      <c r="H54" s="13">
        <f>-805.57-6.33</f>
        <v>-811.9000000000001</v>
      </c>
      <c r="I54" s="30"/>
      <c r="J54" s="13">
        <v>-800</v>
      </c>
      <c r="K54" s="30"/>
      <c r="L54" s="13">
        <f>-22.67-986.84</f>
        <v>-1009.51</v>
      </c>
      <c r="M54" s="30"/>
      <c r="N54" s="13">
        <v>-980</v>
      </c>
      <c r="O54" s="4"/>
      <c r="P54" s="3">
        <v>-1328</v>
      </c>
      <c r="Q54" s="4"/>
      <c r="R54" s="13">
        <v>-1325</v>
      </c>
      <c r="S54" s="4"/>
      <c r="T54" s="3">
        <v>-1488</v>
      </c>
      <c r="U54" s="4"/>
      <c r="V54" s="3">
        <v>0</v>
      </c>
      <c r="X54" s="17"/>
    </row>
    <row r="55" spans="1:24" ht="16.5" thickBot="1">
      <c r="A55" s="4" t="s">
        <v>20</v>
      </c>
      <c r="B55" s="20">
        <v>270</v>
      </c>
      <c r="C55" s="4"/>
      <c r="D55" s="33">
        <v>253.5</v>
      </c>
      <c r="E55" s="4"/>
      <c r="F55" s="20">
        <v>270</v>
      </c>
      <c r="G55" s="30"/>
      <c r="H55" s="20">
        <v>238.39</v>
      </c>
      <c r="I55" s="30"/>
      <c r="J55" s="20">
        <v>270</v>
      </c>
      <c r="K55" s="30"/>
      <c r="L55" s="20">
        <v>223.85</v>
      </c>
      <c r="M55" s="30"/>
      <c r="N55" s="20">
        <v>100</v>
      </c>
      <c r="O55" s="4"/>
      <c r="P55" s="15">
        <f>206-2131.9</f>
        <v>-1925.9</v>
      </c>
      <c r="Q55" s="4"/>
      <c r="R55" s="20">
        <v>200</v>
      </c>
      <c r="S55" s="4"/>
      <c r="T55" s="15">
        <v>1355</v>
      </c>
      <c r="U55" s="4"/>
      <c r="V55" s="15">
        <v>100</v>
      </c>
      <c r="X55" s="17"/>
    </row>
    <row r="56" spans="1:26" ht="15.75">
      <c r="A56" s="4"/>
      <c r="B56" s="13">
        <f>SUM(B51:B55)</f>
        <v>7470</v>
      </c>
      <c r="C56" s="4"/>
      <c r="D56" s="30">
        <f>SUM(D52:D55)</f>
        <v>8681.800000000001</v>
      </c>
      <c r="E56" s="4"/>
      <c r="F56" s="13">
        <f>SUM(F51:F55)</f>
        <v>7620</v>
      </c>
      <c r="G56" s="30"/>
      <c r="H56" s="13">
        <f>SUM(H51:H55)</f>
        <v>7225.770000000001</v>
      </c>
      <c r="I56" s="30"/>
      <c r="J56" s="13">
        <f>SUM(J51:J55)</f>
        <v>6970</v>
      </c>
      <c r="K56" s="30"/>
      <c r="L56" s="13">
        <f>SUM(L51:L55)</f>
        <v>6585.09</v>
      </c>
      <c r="M56" s="30"/>
      <c r="N56" s="13">
        <f>SUM(N51:N55)</f>
        <v>6870</v>
      </c>
      <c r="O56" s="4"/>
      <c r="P56" s="3">
        <f>SUM(P51:P55)</f>
        <v>3453.68</v>
      </c>
      <c r="Q56" s="4"/>
      <c r="R56" s="13">
        <f>SUM(R51:R55)</f>
        <v>3125</v>
      </c>
      <c r="S56" s="4"/>
      <c r="T56" s="3">
        <f>SUM(T51:T55)</f>
        <v>8178</v>
      </c>
      <c r="U56" s="4"/>
      <c r="V56" s="3">
        <f>SUM(V51:V55)</f>
        <v>3850</v>
      </c>
      <c r="X56" s="18" t="s">
        <v>13</v>
      </c>
      <c r="Z56" s="1" t="s">
        <v>13</v>
      </c>
    </row>
    <row r="57" spans="1:25" ht="15.75">
      <c r="A57" s="4"/>
      <c r="B57" s="13"/>
      <c r="C57" s="4"/>
      <c r="D57" s="30"/>
      <c r="E57" s="4"/>
      <c r="F57" s="13"/>
      <c r="G57" s="30"/>
      <c r="H57" s="13"/>
      <c r="I57" s="30"/>
      <c r="K57" s="30"/>
      <c r="L57" s="13"/>
      <c r="M57" s="30"/>
      <c r="O57" s="4"/>
      <c r="Q57" s="4"/>
      <c r="R57" s="13"/>
      <c r="S57" s="4"/>
      <c r="U57" s="4"/>
      <c r="X57" s="17"/>
      <c r="Y57" s="1" t="s">
        <v>13</v>
      </c>
    </row>
    <row r="58" spans="1:24" ht="15.75">
      <c r="A58" s="10" t="s">
        <v>12</v>
      </c>
      <c r="B58" s="25">
        <f>B15+B20+B30+B34+B39+B44+B50+B56</f>
        <v>306500</v>
      </c>
      <c r="C58" s="10"/>
      <c r="D58" s="25">
        <f>D15+D20+D30+D34+D39+D44+D50+D56</f>
        <v>322895.18999999994</v>
      </c>
      <c r="E58" s="10"/>
      <c r="F58" s="25">
        <f>F15+F20+F30+F34+F39+F44+F50+F56</f>
        <v>312000</v>
      </c>
      <c r="G58" s="32"/>
      <c r="H58" s="25">
        <f>H15+H20+H30+H34+H39+H44+H50+H56</f>
        <v>328930.2</v>
      </c>
      <c r="I58" s="32"/>
      <c r="J58" s="25">
        <f>J15+J20+J30+J34+J39+J44+J50+J56</f>
        <v>308600</v>
      </c>
      <c r="K58" s="32"/>
      <c r="L58" s="25">
        <f>L15+L20+L30+L34+L39+L44+L50+L56</f>
        <v>297493.17000000004</v>
      </c>
      <c r="M58" s="32"/>
      <c r="N58" s="25">
        <f>N15+N20+N30+N34+N39+N44+N50+N56</f>
        <v>291000</v>
      </c>
      <c r="O58" s="4"/>
      <c r="P58" s="25">
        <f>P15+P20+P30+P34+P39+P44+P50+P56</f>
        <v>255136.75999999998</v>
      </c>
      <c r="Q58" s="4"/>
      <c r="R58" s="25">
        <f>R15+R20+R30+R34+R39+R44+R50+R56</f>
        <v>227230</v>
      </c>
      <c r="S58" s="4"/>
      <c r="T58" s="25">
        <f>T15+T20+T30+T34+T39+T44+T50+T56</f>
        <v>234752</v>
      </c>
      <c r="U58" s="4"/>
      <c r="V58" s="25">
        <f>V15+V20+V30+V34+V39+V44+V50+V56</f>
        <v>206480</v>
      </c>
      <c r="X58" s="17"/>
    </row>
    <row r="59" spans="2:24" ht="15.75">
      <c r="B59" s="13"/>
      <c r="D59" s="38"/>
      <c r="F59" s="13"/>
      <c r="G59" s="38"/>
      <c r="H59" s="13"/>
      <c r="I59" s="38"/>
      <c r="K59" s="38"/>
      <c r="L59" s="13"/>
      <c r="M59" s="38"/>
      <c r="O59" s="4"/>
      <c r="Q59" s="4"/>
      <c r="R59" s="13"/>
      <c r="S59" s="4"/>
      <c r="U59" s="4"/>
      <c r="X59" s="17"/>
    </row>
    <row r="60" spans="1:24" ht="16.5" thickBot="1">
      <c r="A60" s="10" t="s">
        <v>40</v>
      </c>
      <c r="B60" s="28">
        <f>SUM(B12-B58)</f>
        <v>0</v>
      </c>
      <c r="C60" s="10"/>
      <c r="D60" s="28">
        <f>SUM(D12-D58)</f>
        <v>1091.5600000000559</v>
      </c>
      <c r="E60" s="10"/>
      <c r="F60" s="28">
        <f>SUM(F12-F58)</f>
        <v>0</v>
      </c>
      <c r="G60" s="32"/>
      <c r="H60" s="28">
        <f>SUM(H12-H58)</f>
        <v>-5041.70000000007</v>
      </c>
      <c r="I60" s="32"/>
      <c r="J60" s="28">
        <f>SUM(J12-J58)</f>
        <v>0</v>
      </c>
      <c r="K60" s="32"/>
      <c r="L60" s="28">
        <f>SUM(L12-L58)</f>
        <v>10668.079999999958</v>
      </c>
      <c r="M60" s="32"/>
      <c r="N60" s="28">
        <f>SUM(N12-N58)</f>
        <v>0</v>
      </c>
      <c r="O60" s="4"/>
      <c r="P60" s="29">
        <f>SUM(P12-P58)</f>
        <v>-131.55999999996857</v>
      </c>
      <c r="Q60" s="4"/>
      <c r="R60" s="28">
        <f>SUM(R12-R58)</f>
        <v>-6780</v>
      </c>
      <c r="S60" s="4"/>
      <c r="T60" s="29">
        <f>SUM(T12-T58)</f>
        <v>5846</v>
      </c>
      <c r="U60" s="4"/>
      <c r="V60" s="29">
        <f>SUM(V12-V58)</f>
        <v>1120</v>
      </c>
      <c r="X60" s="17"/>
    </row>
    <row r="61" spans="11:24" ht="16.5" thickTop="1">
      <c r="K61" s="4"/>
      <c r="L61" s="30"/>
      <c r="M61" s="4"/>
      <c r="Q61" s="4"/>
      <c r="S61" s="4"/>
      <c r="T61" s="13"/>
      <c r="U61" s="4"/>
      <c r="X61" s="17"/>
    </row>
    <row r="62" spans="1:24" ht="15.75">
      <c r="A62" s="4"/>
      <c r="B62" s="4"/>
      <c r="C62" s="4"/>
      <c r="D62" s="4"/>
      <c r="E62" s="4"/>
      <c r="F62" s="4"/>
      <c r="G62" s="4"/>
      <c r="H62" s="30"/>
      <c r="I62" s="4"/>
      <c r="K62" s="4"/>
      <c r="L62" s="30"/>
      <c r="M62" s="4"/>
      <c r="X62" s="17"/>
    </row>
    <row r="63" ht="15.75">
      <c r="X63" s="17"/>
    </row>
    <row r="64" ht="15.75">
      <c r="X64" s="17"/>
    </row>
    <row r="65" spans="8:24" ht="15.75">
      <c r="H65" s="1"/>
      <c r="J65" s="1"/>
      <c r="L65" s="1"/>
      <c r="N65" s="1"/>
      <c r="O65" s="1"/>
      <c r="P65" s="1"/>
      <c r="R65" s="1"/>
      <c r="T65" s="1"/>
      <c r="V65" s="1"/>
      <c r="X65" s="17" t="s">
        <v>13</v>
      </c>
    </row>
    <row r="66" spans="8:24" ht="15.75">
      <c r="H66" s="1"/>
      <c r="J66" s="1"/>
      <c r="L66" s="1"/>
      <c r="N66" s="1"/>
      <c r="O66" s="1"/>
      <c r="P66" s="1"/>
      <c r="R66" s="1"/>
      <c r="T66" s="1"/>
      <c r="V66" s="1"/>
      <c r="X66" s="17"/>
    </row>
  </sheetData>
  <sheetProtection/>
  <mergeCells count="1">
    <mergeCell ref="A1:V1"/>
  </mergeCells>
  <printOptions/>
  <pageMargins left="0.75" right="0.75" top="1" bottom="1" header="0.5" footer="0.5"/>
  <pageSetup orientation="portrait" paperSize="9" scale="72"/>
  <rowBreaks count="1" manualBreakCount="1">
    <brk id="61" max="255" man="1"/>
  </rowBreaks>
</worksheet>
</file>

<file path=xl/worksheets/sheet5.xml><?xml version="1.0" encoding="utf-8"?>
<worksheet xmlns="http://schemas.openxmlformats.org/spreadsheetml/2006/main" xmlns:r="http://schemas.openxmlformats.org/officeDocument/2006/relationships">
  <dimension ref="A1:W66"/>
  <sheetViews>
    <sheetView zoomScale="150" zoomScaleNormal="150" zoomScalePageLayoutView="0" workbookViewId="0" topLeftCell="A1">
      <selection activeCell="B7" sqref="B7"/>
    </sheetView>
  </sheetViews>
  <sheetFormatPr defaultColWidth="9.00390625" defaultRowHeight="14.25"/>
  <cols>
    <col min="1" max="1" width="26.875" style="1" bestFit="1" customWidth="1"/>
    <col min="2" max="2" width="12.50390625" style="1" customWidth="1"/>
    <col min="3" max="3" width="1.4921875" style="1" customWidth="1"/>
    <col min="4" max="4" width="12.50390625" style="38" customWidth="1"/>
    <col min="5" max="5" width="1.4921875" style="1" customWidth="1"/>
    <col min="6" max="6" width="12.50390625" style="13" bestFit="1" customWidth="1"/>
    <col min="7" max="7" width="1.4921875" style="1" customWidth="1"/>
    <col min="8" max="8" width="10.875" style="38" bestFit="1" customWidth="1"/>
    <col min="9" max="9" width="1.4921875" style="1" customWidth="1"/>
    <col min="10" max="10" width="12.50390625" style="13" bestFit="1" customWidth="1"/>
    <col min="11" max="11" width="1.4921875" style="13" customWidth="1"/>
    <col min="12" max="12" width="11.625" style="3" hidden="1" customWidth="1"/>
    <col min="13" max="13" width="1.4921875" style="1" hidden="1" customWidth="1"/>
    <col min="14" max="14" width="12.50390625" style="3" hidden="1" customWidth="1"/>
    <col min="15" max="15" width="1.4921875" style="1" customWidth="1"/>
    <col min="16" max="16" width="11.625" style="3" hidden="1" customWidth="1"/>
    <col min="17" max="17" width="1.4921875" style="1" hidden="1" customWidth="1"/>
    <col min="18" max="18" width="12.50390625" style="3" hidden="1" customWidth="1"/>
    <col min="19" max="19" width="9.00390625" style="1" customWidth="1"/>
    <col min="20" max="20" width="10.50390625" style="1" bestFit="1" customWidth="1"/>
    <col min="21" max="16384" width="9.00390625" style="1" customWidth="1"/>
  </cols>
  <sheetData>
    <row r="1" spans="1:18" ht="15.75">
      <c r="A1" s="46" t="s">
        <v>54</v>
      </c>
      <c r="B1" s="46"/>
      <c r="C1" s="46"/>
      <c r="D1" s="46"/>
      <c r="E1" s="46"/>
      <c r="F1" s="47"/>
      <c r="G1" s="47"/>
      <c r="H1" s="47"/>
      <c r="I1" s="47"/>
      <c r="J1" s="47"/>
      <c r="K1" s="47"/>
      <c r="L1" s="47"/>
      <c r="M1" s="47"/>
      <c r="N1" s="47"/>
      <c r="O1" s="47"/>
      <c r="P1" s="47"/>
      <c r="Q1" s="47"/>
      <c r="R1" s="47"/>
    </row>
    <row r="2" spans="1:9" ht="15.75">
      <c r="A2" s="2"/>
      <c r="B2" s="2"/>
      <c r="C2" s="2"/>
      <c r="D2" s="34"/>
      <c r="E2" s="2"/>
      <c r="G2" s="2"/>
      <c r="H2" s="34"/>
      <c r="I2" s="2"/>
    </row>
    <row r="3" spans="1:18" ht="15.75">
      <c r="A3" s="4"/>
      <c r="B3" s="21" t="s">
        <v>4</v>
      </c>
      <c r="C3" s="4"/>
      <c r="D3" s="30" t="s">
        <v>5</v>
      </c>
      <c r="E3" s="30"/>
      <c r="F3" s="21" t="s">
        <v>4</v>
      </c>
      <c r="G3" s="4"/>
      <c r="H3" s="30" t="s">
        <v>5</v>
      </c>
      <c r="I3" s="30"/>
      <c r="J3" s="21" t="s">
        <v>4</v>
      </c>
      <c r="K3" s="4"/>
      <c r="L3" s="5" t="s">
        <v>5</v>
      </c>
      <c r="M3" s="4"/>
      <c r="N3" s="21" t="s">
        <v>4</v>
      </c>
      <c r="O3" s="4"/>
      <c r="P3" s="5" t="s">
        <v>5</v>
      </c>
      <c r="Q3" s="4"/>
      <c r="R3" s="5" t="s">
        <v>4</v>
      </c>
    </row>
    <row r="4" spans="1:18" ht="15.75">
      <c r="A4" s="4"/>
      <c r="B4" s="26" t="s">
        <v>55</v>
      </c>
      <c r="C4" s="4"/>
      <c r="D4" s="26" t="s">
        <v>52</v>
      </c>
      <c r="E4" s="26"/>
      <c r="F4" s="26" t="s">
        <v>52</v>
      </c>
      <c r="G4" s="4"/>
      <c r="H4" s="40" t="s">
        <v>46</v>
      </c>
      <c r="I4" s="26"/>
      <c r="J4" s="26" t="s">
        <v>46</v>
      </c>
      <c r="K4" s="4"/>
      <c r="L4" s="6" t="s">
        <v>14</v>
      </c>
      <c r="M4" s="4"/>
      <c r="N4" s="26" t="s">
        <v>14</v>
      </c>
      <c r="O4" s="7"/>
      <c r="P4" s="6" t="s">
        <v>15</v>
      </c>
      <c r="Q4" s="7"/>
      <c r="R4" s="6" t="s">
        <v>15</v>
      </c>
    </row>
    <row r="5" spans="1:18" ht="15.75">
      <c r="A5" s="4"/>
      <c r="B5" s="27" t="s">
        <v>6</v>
      </c>
      <c r="C5" s="4"/>
      <c r="D5" s="36" t="s">
        <v>6</v>
      </c>
      <c r="E5" s="36"/>
      <c r="F5" s="27" t="s">
        <v>6</v>
      </c>
      <c r="G5" s="4"/>
      <c r="H5" s="36" t="s">
        <v>6</v>
      </c>
      <c r="I5" s="36"/>
      <c r="J5" s="27" t="s">
        <v>6</v>
      </c>
      <c r="K5" s="4"/>
      <c r="L5" s="8" t="s">
        <v>6</v>
      </c>
      <c r="M5" s="4"/>
      <c r="N5" s="27" t="s">
        <v>6</v>
      </c>
      <c r="O5" s="7"/>
      <c r="P5" s="8" t="s">
        <v>6</v>
      </c>
      <c r="Q5" s="7"/>
      <c r="R5" s="8" t="s">
        <v>6</v>
      </c>
    </row>
    <row r="6" spans="1:20" ht="15.75">
      <c r="A6" s="10" t="s">
        <v>7</v>
      </c>
      <c r="B6" s="10"/>
      <c r="C6" s="10"/>
      <c r="D6" s="32"/>
      <c r="E6" s="10"/>
      <c r="F6" s="10"/>
      <c r="G6" s="10"/>
      <c r="H6" s="32"/>
      <c r="I6" s="10"/>
      <c r="J6" s="23"/>
      <c r="K6" s="4"/>
      <c r="L6" s="9"/>
      <c r="M6" s="4"/>
      <c r="N6" s="23"/>
      <c r="O6" s="7"/>
      <c r="P6" s="9"/>
      <c r="Q6" s="7"/>
      <c r="R6" s="9"/>
      <c r="T6" s="16"/>
    </row>
    <row r="7" spans="1:20" ht="15.75">
      <c r="A7" s="4" t="s">
        <v>8</v>
      </c>
      <c r="B7" s="13">
        <f>FLOOR(D7*1.05,1000)-10000</f>
        <v>192000</v>
      </c>
      <c r="C7" s="30"/>
      <c r="D7" s="30">
        <v>192427.8</v>
      </c>
      <c r="E7" s="30"/>
      <c r="F7" s="13">
        <f>FLOOR(H7*1.05,1000)</f>
        <v>191000</v>
      </c>
      <c r="G7" s="30"/>
      <c r="H7" s="30">
        <v>182776.25</v>
      </c>
      <c r="I7" s="30"/>
      <c r="J7" s="13">
        <f>(142000*1.09)+20220</f>
        <v>175000</v>
      </c>
      <c r="K7" s="4"/>
      <c r="L7" s="3">
        <v>148920</v>
      </c>
      <c r="M7" s="4"/>
      <c r="N7" s="13">
        <v>130000</v>
      </c>
      <c r="O7" s="4"/>
      <c r="P7" s="3">
        <v>146869</v>
      </c>
      <c r="Q7" s="4"/>
      <c r="R7" s="3">
        <v>123000</v>
      </c>
      <c r="T7" s="17" t="s">
        <v>13</v>
      </c>
    </row>
    <row r="8" spans="1:20" ht="15.75">
      <c r="A8" s="4" t="s">
        <v>16</v>
      </c>
      <c r="B8" s="13">
        <v>33000</v>
      </c>
      <c r="C8" s="30"/>
      <c r="D8" s="30">
        <v>30615</v>
      </c>
      <c r="E8" s="30"/>
      <c r="F8" s="13">
        <v>34000</v>
      </c>
      <c r="G8" s="30"/>
      <c r="H8" s="30">
        <v>40540</v>
      </c>
      <c r="I8" s="30"/>
      <c r="J8" s="13">
        <v>37000</v>
      </c>
      <c r="K8" s="4"/>
      <c r="L8" s="3">
        <f>34704.2+627.5+227.5</f>
        <v>35559.2</v>
      </c>
      <c r="M8" s="4"/>
      <c r="N8" s="13">
        <v>30000</v>
      </c>
      <c r="O8" s="4"/>
      <c r="P8" s="3">
        <v>27602</v>
      </c>
      <c r="Q8" s="4"/>
      <c r="R8" s="3">
        <v>23000</v>
      </c>
      <c r="T8" s="18" t="s">
        <v>13</v>
      </c>
    </row>
    <row r="9" spans="1:20" ht="15.75">
      <c r="A9" s="14" t="s">
        <v>41</v>
      </c>
      <c r="B9" s="13">
        <f>72500+5000</f>
        <v>77500</v>
      </c>
      <c r="C9" s="39"/>
      <c r="D9" s="39">
        <f>631+5718+14347.38+23903.94+11425.35+3607.51+2177.22+11344.84+621.65+5199.78</f>
        <v>78976.66999999998</v>
      </c>
      <c r="E9" s="39"/>
      <c r="F9" s="13">
        <v>72500</v>
      </c>
      <c r="G9" s="39"/>
      <c r="H9" s="39">
        <v>73356</v>
      </c>
      <c r="I9" s="39"/>
      <c r="J9" s="13">
        <v>70000</v>
      </c>
      <c r="K9" s="4"/>
      <c r="L9" s="3">
        <v>62469</v>
      </c>
      <c r="M9" s="4"/>
      <c r="N9" s="13">
        <v>54450</v>
      </c>
      <c r="O9" s="4"/>
      <c r="P9" s="3">
        <v>57803</v>
      </c>
      <c r="Q9" s="4"/>
      <c r="R9" s="3">
        <v>53900</v>
      </c>
      <c r="T9" s="17"/>
    </row>
    <row r="10" spans="1:22" ht="15.75">
      <c r="A10" s="4" t="s">
        <v>56</v>
      </c>
      <c r="B10" s="13">
        <f>8000</f>
        <v>8000</v>
      </c>
      <c r="C10" s="30"/>
      <c r="D10" s="30">
        <f>2836.73+5641.25+1881.25</f>
        <v>10359.23</v>
      </c>
      <c r="E10" s="30"/>
      <c r="F10" s="13">
        <f>8000+2000</f>
        <v>10000</v>
      </c>
      <c r="G10" s="30"/>
      <c r="H10" s="30">
        <v>9893</v>
      </c>
      <c r="I10" s="30"/>
      <c r="J10" s="13">
        <v>7000</v>
      </c>
      <c r="K10" s="4"/>
      <c r="L10" s="3">
        <v>7307</v>
      </c>
      <c r="M10" s="4"/>
      <c r="N10" s="13">
        <v>6000</v>
      </c>
      <c r="O10" s="4"/>
      <c r="P10" s="3">
        <f>4466+2791+967</f>
        <v>8224</v>
      </c>
      <c r="Q10" s="4"/>
      <c r="R10" s="3">
        <v>7700</v>
      </c>
      <c r="T10" s="17" t="s">
        <v>13</v>
      </c>
      <c r="V10" s="19" t="s">
        <v>13</v>
      </c>
    </row>
    <row r="11" spans="1:20" ht="16.5" thickBot="1">
      <c r="A11" s="4" t="s">
        <v>18</v>
      </c>
      <c r="B11" s="20">
        <v>1500</v>
      </c>
      <c r="C11" s="30"/>
      <c r="D11" s="33">
        <f>150+415+100+10844.8</f>
        <v>11509.8</v>
      </c>
      <c r="E11" s="33"/>
      <c r="F11" s="20">
        <v>1100</v>
      </c>
      <c r="G11" s="30"/>
      <c r="H11" s="33">
        <v>1596</v>
      </c>
      <c r="I11" s="33"/>
      <c r="J11" s="20">
        <v>2000</v>
      </c>
      <c r="K11" s="4"/>
      <c r="L11" s="15">
        <v>750</v>
      </c>
      <c r="M11" s="4"/>
      <c r="N11" s="20">
        <v>0</v>
      </c>
      <c r="O11" s="4"/>
      <c r="P11" s="15">
        <v>100</v>
      </c>
      <c r="Q11" s="4"/>
      <c r="R11" s="15">
        <v>0</v>
      </c>
      <c r="T11" s="17"/>
    </row>
    <row r="12" spans="1:22" ht="15.75">
      <c r="A12" s="4"/>
      <c r="B12" s="13">
        <f>SUM(B7:B11)</f>
        <v>312000</v>
      </c>
      <c r="C12" s="30"/>
      <c r="D12" s="30">
        <f>SUM(D7:D11)</f>
        <v>323888.49999999994</v>
      </c>
      <c r="E12" s="30"/>
      <c r="F12" s="13">
        <f>SUM(F7:F11)</f>
        <v>308600</v>
      </c>
      <c r="G12" s="30"/>
      <c r="H12" s="30">
        <f>SUM(H7:H11)</f>
        <v>308161.25</v>
      </c>
      <c r="I12" s="30"/>
      <c r="J12" s="13">
        <f>SUM(J7:J11)</f>
        <v>291000</v>
      </c>
      <c r="K12" s="4"/>
      <c r="L12" s="3">
        <f>SUM(L7:L11)</f>
        <v>255005.2</v>
      </c>
      <c r="M12" s="4"/>
      <c r="N12" s="13">
        <f>SUM(N7:N11)</f>
        <v>220450</v>
      </c>
      <c r="O12" s="4"/>
      <c r="P12" s="3">
        <f>SUM(P7:P11)</f>
        <v>240598</v>
      </c>
      <c r="Q12" s="4"/>
      <c r="R12" s="3">
        <f>SUM(R7:R11)</f>
        <v>207600</v>
      </c>
      <c r="T12" s="17"/>
      <c r="V12" s="3"/>
    </row>
    <row r="13" spans="1:20" ht="15.75">
      <c r="A13" s="10" t="s">
        <v>9</v>
      </c>
      <c r="B13" s="13"/>
      <c r="C13" s="32"/>
      <c r="D13" s="32"/>
      <c r="E13" s="32"/>
      <c r="G13" s="32"/>
      <c r="H13" s="32"/>
      <c r="I13" s="32"/>
      <c r="K13" s="12"/>
      <c r="M13" s="4"/>
      <c r="N13" s="13"/>
      <c r="O13" s="4"/>
      <c r="Q13" s="4"/>
      <c r="T13" s="17"/>
    </row>
    <row r="14" spans="1:20" ht="16.5" thickBot="1">
      <c r="A14" s="4" t="s">
        <v>42</v>
      </c>
      <c r="B14" s="20">
        <f>CEILING(B9/1.37,1000)-1500</f>
        <v>55500</v>
      </c>
      <c r="C14" s="30"/>
      <c r="D14" s="33">
        <f>1002.64+4694.16+149+5066.94+7612.48+14216.97+5454.76+2337.94+1262.87+7220.67+8016.45+1199.28-31.15</f>
        <v>58203.01</v>
      </c>
      <c r="E14" s="30"/>
      <c r="F14" s="20">
        <f>CEILING(F9/1.37,1000)</f>
        <v>53000</v>
      </c>
      <c r="G14" s="30"/>
      <c r="H14" s="33">
        <v>53993</v>
      </c>
      <c r="I14" s="30"/>
      <c r="J14" s="20">
        <v>51000</v>
      </c>
      <c r="K14" s="4"/>
      <c r="L14" s="15">
        <v>43882</v>
      </c>
      <c r="M14" s="4"/>
      <c r="N14" s="20">
        <v>38000</v>
      </c>
      <c r="O14" s="4"/>
      <c r="P14" s="15">
        <v>48500</v>
      </c>
      <c r="Q14" s="11"/>
      <c r="R14" s="15">
        <v>36800</v>
      </c>
      <c r="T14" s="17" t="s">
        <v>13</v>
      </c>
    </row>
    <row r="15" spans="1:20" ht="15.75">
      <c r="A15" s="4"/>
      <c r="B15" s="13">
        <f>SUM(B14:B14)</f>
        <v>55500</v>
      </c>
      <c r="C15" s="30"/>
      <c r="D15" s="37">
        <f>SUM(D14:D14)</f>
        <v>58203.01</v>
      </c>
      <c r="E15" s="30"/>
      <c r="F15" s="13">
        <f>SUM(F14:F14)</f>
        <v>53000</v>
      </c>
      <c r="G15" s="30"/>
      <c r="H15" s="37">
        <f>SUM(H14:H14)</f>
        <v>53993</v>
      </c>
      <c r="I15" s="30"/>
      <c r="J15" s="13">
        <f>SUM(J14:J14)</f>
        <v>51000</v>
      </c>
      <c r="K15" s="4"/>
      <c r="L15" s="3">
        <f>SUM(L14:L14)</f>
        <v>43882</v>
      </c>
      <c r="M15" s="4"/>
      <c r="N15" s="13">
        <f>SUM(N14:N14)</f>
        <v>38000</v>
      </c>
      <c r="O15" s="4"/>
      <c r="P15" s="3">
        <f>SUM(P14:P14)</f>
        <v>48500</v>
      </c>
      <c r="Q15" s="4"/>
      <c r="R15" s="3">
        <f>SUM(R14:R14)</f>
        <v>36800</v>
      </c>
      <c r="T15" s="17"/>
    </row>
    <row r="16" spans="1:20" ht="15.75">
      <c r="A16" s="10" t="s">
        <v>19</v>
      </c>
      <c r="B16" s="13"/>
      <c r="C16" s="32"/>
      <c r="D16" s="32"/>
      <c r="E16" s="32"/>
      <c r="G16" s="32"/>
      <c r="H16" s="32"/>
      <c r="I16" s="32"/>
      <c r="K16" s="10"/>
      <c r="M16" s="4"/>
      <c r="N16" s="13"/>
      <c r="O16" s="4"/>
      <c r="Q16" s="11"/>
      <c r="T16" s="17"/>
    </row>
    <row r="17" spans="1:20" ht="15.75">
      <c r="A17" s="4" t="s">
        <v>1</v>
      </c>
      <c r="B17" s="13">
        <v>85000</v>
      </c>
      <c r="C17" s="30"/>
      <c r="D17" s="13">
        <v>105468.61</v>
      </c>
      <c r="E17" s="30"/>
      <c r="F17" s="13">
        <v>100000</v>
      </c>
      <c r="G17" s="30"/>
      <c r="H17" s="13">
        <v>77809.57</v>
      </c>
      <c r="I17" s="30"/>
      <c r="J17" s="13">
        <v>78500</v>
      </c>
      <c r="K17" s="4"/>
      <c r="L17" s="3">
        <v>79751</v>
      </c>
      <c r="M17" s="4"/>
      <c r="N17" s="13">
        <v>72000</v>
      </c>
      <c r="O17" s="4"/>
      <c r="P17" s="3">
        <v>73155</v>
      </c>
      <c r="Q17" s="11"/>
      <c r="R17" s="3">
        <v>70000</v>
      </c>
      <c r="T17" s="17" t="s">
        <v>13</v>
      </c>
    </row>
    <row r="18" spans="1:20" ht="15.75">
      <c r="A18" s="4" t="s">
        <v>20</v>
      </c>
      <c r="B18" s="13">
        <v>1000</v>
      </c>
      <c r="C18" s="30"/>
      <c r="D18" s="13">
        <v>0</v>
      </c>
      <c r="E18" s="30"/>
      <c r="F18" s="13">
        <v>1000</v>
      </c>
      <c r="G18" s="30"/>
      <c r="H18" s="13">
        <v>900</v>
      </c>
      <c r="I18" s="30"/>
      <c r="J18" s="13">
        <v>2000</v>
      </c>
      <c r="K18" s="4"/>
      <c r="L18" s="3">
        <f>1910+335-795</f>
        <v>1450</v>
      </c>
      <c r="M18" s="4"/>
      <c r="N18" s="13">
        <v>2000</v>
      </c>
      <c r="O18" s="4"/>
      <c r="P18" s="3">
        <v>2015</v>
      </c>
      <c r="Q18" s="11"/>
      <c r="R18" s="3">
        <v>2000</v>
      </c>
      <c r="T18" s="17"/>
    </row>
    <row r="19" spans="1:20" ht="16.5" thickBot="1">
      <c r="A19" s="4" t="s">
        <v>21</v>
      </c>
      <c r="B19" s="20">
        <v>31000</v>
      </c>
      <c r="C19" s="30"/>
      <c r="D19" s="20">
        <v>24549.6</v>
      </c>
      <c r="E19" s="30"/>
      <c r="F19" s="20">
        <v>25000</v>
      </c>
      <c r="G19" s="30"/>
      <c r="H19" s="20">
        <v>25588.65</v>
      </c>
      <c r="I19" s="30"/>
      <c r="J19" s="20">
        <v>23000</v>
      </c>
      <c r="K19" s="4"/>
      <c r="L19" s="15">
        <v>13384</v>
      </c>
      <c r="M19" s="4"/>
      <c r="N19" s="20">
        <v>12000</v>
      </c>
      <c r="O19" s="4"/>
      <c r="P19" s="15">
        <v>11515</v>
      </c>
      <c r="Q19" s="4"/>
      <c r="R19" s="15">
        <v>12500</v>
      </c>
      <c r="T19" s="17" t="s">
        <v>13</v>
      </c>
    </row>
    <row r="20" spans="1:20" ht="15.75">
      <c r="A20" s="4"/>
      <c r="B20" s="13">
        <f>SUM(B16:B19)</f>
        <v>117000</v>
      </c>
      <c r="C20" s="30"/>
      <c r="D20" s="13">
        <f>SUM(D16:D19)</f>
        <v>130018.20999999999</v>
      </c>
      <c r="E20" s="30"/>
      <c r="F20" s="13">
        <f>SUM(F16:F19)</f>
        <v>126000</v>
      </c>
      <c r="G20" s="30"/>
      <c r="H20" s="13">
        <f>SUM(H16:H19)</f>
        <v>104298.22</v>
      </c>
      <c r="I20" s="30"/>
      <c r="J20" s="13">
        <f>SUM(J16:J19)</f>
        <v>103500</v>
      </c>
      <c r="K20" s="4"/>
      <c r="L20" s="3">
        <f>SUM(L16:L19)</f>
        <v>94585</v>
      </c>
      <c r="M20" s="4"/>
      <c r="N20" s="13">
        <f>SUM(N16:N19)</f>
        <v>86000</v>
      </c>
      <c r="O20" s="4"/>
      <c r="P20" s="3">
        <f>SUM(P16:P19)</f>
        <v>86685</v>
      </c>
      <c r="Q20" s="4"/>
      <c r="R20" s="3">
        <f>SUM(R16:R19)</f>
        <v>84500</v>
      </c>
      <c r="T20" s="17"/>
    </row>
    <row r="21" spans="1:20" ht="15.75">
      <c r="A21" s="10" t="s">
        <v>10</v>
      </c>
      <c r="B21" s="13"/>
      <c r="C21" s="32"/>
      <c r="D21" s="13"/>
      <c r="E21" s="32"/>
      <c r="G21" s="32"/>
      <c r="H21" s="13"/>
      <c r="I21" s="32"/>
      <c r="K21" s="10"/>
      <c r="M21" s="4"/>
      <c r="N21" s="13"/>
      <c r="O21" s="4"/>
      <c r="Q21" s="4"/>
      <c r="T21" s="17"/>
    </row>
    <row r="22" spans="1:20" ht="15.75">
      <c r="A22" s="4" t="s">
        <v>57</v>
      </c>
      <c r="B22" s="13">
        <v>2500</v>
      </c>
      <c r="C22" s="30"/>
      <c r="D22" s="13">
        <v>2208</v>
      </c>
      <c r="E22" s="30"/>
      <c r="F22" s="13">
        <v>0</v>
      </c>
      <c r="G22" s="30"/>
      <c r="H22" s="13">
        <v>0</v>
      </c>
      <c r="I22" s="30"/>
      <c r="J22" s="13">
        <v>0</v>
      </c>
      <c r="K22" s="4"/>
      <c r="L22" s="3">
        <v>213</v>
      </c>
      <c r="M22" s="4"/>
      <c r="N22" s="13">
        <v>1500</v>
      </c>
      <c r="O22" s="4"/>
      <c r="P22" s="3">
        <v>0</v>
      </c>
      <c r="Q22" s="4"/>
      <c r="R22" s="3">
        <v>3000</v>
      </c>
      <c r="T22" s="17" t="s">
        <v>13</v>
      </c>
    </row>
    <row r="23" spans="1:20" ht="15.75">
      <c r="A23" s="4" t="s">
        <v>23</v>
      </c>
      <c r="B23" s="13">
        <v>0</v>
      </c>
      <c r="C23" s="30"/>
      <c r="D23" s="13">
        <v>0</v>
      </c>
      <c r="E23" s="30"/>
      <c r="F23" s="13">
        <v>3630</v>
      </c>
      <c r="G23" s="30"/>
      <c r="H23" s="13">
        <v>3630</v>
      </c>
      <c r="I23" s="30"/>
      <c r="J23" s="13">
        <v>7500</v>
      </c>
      <c r="K23" s="4"/>
      <c r="L23" s="3">
        <v>3630</v>
      </c>
      <c r="M23" s="4"/>
      <c r="N23" s="13">
        <v>3630</v>
      </c>
      <c r="O23" s="4"/>
      <c r="P23" s="3">
        <v>3630</v>
      </c>
      <c r="Q23" s="4"/>
      <c r="R23" s="3">
        <v>3630</v>
      </c>
      <c r="T23" s="17"/>
    </row>
    <row r="24" spans="1:20" ht="15.75">
      <c r="A24" s="4" t="s">
        <v>24</v>
      </c>
      <c r="B24" s="13">
        <v>4500</v>
      </c>
      <c r="C24" s="30"/>
      <c r="D24" s="13">
        <v>4095.04</v>
      </c>
      <c r="E24" s="30"/>
      <c r="F24" s="13">
        <v>6000</v>
      </c>
      <c r="G24" s="30"/>
      <c r="H24" s="13">
        <v>6804.39</v>
      </c>
      <c r="I24" s="30"/>
      <c r="J24" s="13">
        <v>6500</v>
      </c>
      <c r="K24" s="4"/>
      <c r="L24" s="3">
        <v>5661</v>
      </c>
      <c r="M24" s="4"/>
      <c r="N24" s="13">
        <v>4000</v>
      </c>
      <c r="O24" s="4"/>
      <c r="P24" s="3">
        <v>3796</v>
      </c>
      <c r="Q24" s="4"/>
      <c r="R24" s="3">
        <v>4000</v>
      </c>
      <c r="T24" s="17"/>
    </row>
    <row r="25" spans="1:20" ht="15.75">
      <c r="A25" s="4" t="s">
        <v>0</v>
      </c>
      <c r="B25" s="13">
        <v>3500</v>
      </c>
      <c r="C25" s="30"/>
      <c r="D25" s="13">
        <v>4872.55</v>
      </c>
      <c r="E25" s="30"/>
      <c r="F25" s="13">
        <v>4000</v>
      </c>
      <c r="G25" s="30"/>
      <c r="H25" s="13">
        <v>4872.64</v>
      </c>
      <c r="I25" s="30"/>
      <c r="J25" s="13">
        <v>4000</v>
      </c>
      <c r="K25" s="4"/>
      <c r="L25" s="3">
        <v>2760</v>
      </c>
      <c r="M25" s="4"/>
      <c r="N25" s="13">
        <v>4250</v>
      </c>
      <c r="O25" s="4"/>
      <c r="P25" s="3">
        <v>5231</v>
      </c>
      <c r="Q25" s="4"/>
      <c r="R25" s="3">
        <v>4250</v>
      </c>
      <c r="T25" s="17"/>
    </row>
    <row r="26" spans="1:20" ht="15.75">
      <c r="A26" s="4" t="s">
        <v>11</v>
      </c>
      <c r="B26" s="13">
        <v>6500</v>
      </c>
      <c r="C26" s="30"/>
      <c r="D26" s="13">
        <v>7174.77</v>
      </c>
      <c r="E26" s="30"/>
      <c r="F26" s="13">
        <v>6370</v>
      </c>
      <c r="G26" s="30"/>
      <c r="H26" s="13">
        <v>6492.12</v>
      </c>
      <c r="I26" s="30"/>
      <c r="J26" s="13">
        <v>6500</v>
      </c>
      <c r="K26" s="4"/>
      <c r="L26" s="3">
        <v>4556</v>
      </c>
      <c r="M26" s="4"/>
      <c r="N26" s="13">
        <v>3000</v>
      </c>
      <c r="O26" s="4"/>
      <c r="P26" s="3">
        <v>2850</v>
      </c>
      <c r="Q26" s="4"/>
      <c r="R26" s="3">
        <v>1650</v>
      </c>
      <c r="T26" s="17"/>
    </row>
    <row r="27" spans="1:23" ht="15.75">
      <c r="A27" s="4" t="s">
        <v>25</v>
      </c>
      <c r="B27" s="13">
        <v>11000</v>
      </c>
      <c r="C27" s="30"/>
      <c r="D27" s="13">
        <v>11116.13</v>
      </c>
      <c r="E27" s="30"/>
      <c r="F27" s="13">
        <f>7500+1000</f>
        <v>8500</v>
      </c>
      <c r="G27" s="30"/>
      <c r="H27" s="13">
        <v>10630.65</v>
      </c>
      <c r="I27" s="30"/>
      <c r="J27" s="13">
        <v>7500</v>
      </c>
      <c r="K27" s="4"/>
      <c r="L27" s="3">
        <v>11297</v>
      </c>
      <c r="M27" s="4"/>
      <c r="N27" s="13">
        <v>17500</v>
      </c>
      <c r="O27" s="4"/>
      <c r="P27" s="3">
        <v>17657</v>
      </c>
      <c r="Q27" s="4"/>
      <c r="R27" s="3">
        <v>13000</v>
      </c>
      <c r="T27" s="18" t="s">
        <v>13</v>
      </c>
      <c r="W27" s="1" t="s">
        <v>13</v>
      </c>
    </row>
    <row r="28" spans="1:20" ht="15.75">
      <c r="A28" s="4" t="s">
        <v>26</v>
      </c>
      <c r="B28" s="13">
        <f>3250-1000</f>
        <v>2250</v>
      </c>
      <c r="C28" s="30"/>
      <c r="D28" s="13">
        <v>3250.44</v>
      </c>
      <c r="E28" s="30"/>
      <c r="F28" s="13">
        <f>1500+1000</f>
        <v>2500</v>
      </c>
      <c r="G28" s="30"/>
      <c r="H28" s="13">
        <v>4241.24</v>
      </c>
      <c r="I28" s="30"/>
      <c r="J28" s="13">
        <v>1500</v>
      </c>
      <c r="K28" s="4"/>
      <c r="L28" s="3">
        <v>1766</v>
      </c>
      <c r="M28" s="4"/>
      <c r="N28" s="13">
        <v>1250</v>
      </c>
      <c r="O28" s="4"/>
      <c r="P28" s="3">
        <v>1352</v>
      </c>
      <c r="Q28" s="4"/>
      <c r="R28" s="3">
        <v>1750</v>
      </c>
      <c r="T28" s="18"/>
    </row>
    <row r="29" spans="1:20" ht="16.5" thickBot="1">
      <c r="A29" s="4" t="s">
        <v>2</v>
      </c>
      <c r="B29" s="20">
        <v>7500</v>
      </c>
      <c r="C29" s="30"/>
      <c r="D29" s="20">
        <v>10639.98</v>
      </c>
      <c r="E29" s="30"/>
      <c r="F29" s="20">
        <v>6250</v>
      </c>
      <c r="G29" s="30"/>
      <c r="H29" s="20">
        <v>7224.45</v>
      </c>
      <c r="I29" s="30"/>
      <c r="J29" s="20">
        <v>6500</v>
      </c>
      <c r="K29" s="4"/>
      <c r="L29" s="15">
        <v>8846</v>
      </c>
      <c r="M29" s="4"/>
      <c r="N29" s="20">
        <v>5000</v>
      </c>
      <c r="O29" s="4"/>
      <c r="P29" s="15">
        <v>8445</v>
      </c>
      <c r="Q29" s="4"/>
      <c r="R29" s="15">
        <v>5000</v>
      </c>
      <c r="T29" s="17"/>
    </row>
    <row r="30" spans="1:20" ht="15.75" customHeight="1">
      <c r="A30" s="4"/>
      <c r="B30" s="13">
        <f>SUM(B21:B29)</f>
        <v>37750</v>
      </c>
      <c r="C30" s="30"/>
      <c r="D30" s="13">
        <f>SUM(D21:D29)</f>
        <v>43356.909999999996</v>
      </c>
      <c r="E30" s="30"/>
      <c r="F30" s="13">
        <f>SUM(F21:F29)</f>
        <v>37250</v>
      </c>
      <c r="G30" s="30"/>
      <c r="H30" s="13">
        <f>SUM(H21:H29)</f>
        <v>43895.48999999999</v>
      </c>
      <c r="I30" s="30"/>
      <c r="J30" s="13">
        <f>SUM(J21:J29)</f>
        <v>40000</v>
      </c>
      <c r="K30" s="4"/>
      <c r="L30" s="3">
        <f>SUM(L21:L29)</f>
        <v>38729</v>
      </c>
      <c r="M30" s="4"/>
      <c r="N30" s="13">
        <f>SUM(N21:N29)</f>
        <v>40130</v>
      </c>
      <c r="O30" s="4"/>
      <c r="P30" s="3">
        <f>SUM(P21:P29)</f>
        <v>42961</v>
      </c>
      <c r="Q30" s="4"/>
      <c r="R30" s="3">
        <f>SUM(R21:R29)</f>
        <v>36280</v>
      </c>
      <c r="T30" s="17"/>
    </row>
    <row r="31" spans="1:20" ht="15.75">
      <c r="A31" s="10" t="s">
        <v>27</v>
      </c>
      <c r="B31" s="13"/>
      <c r="C31" s="32"/>
      <c r="D31" s="32"/>
      <c r="E31" s="32"/>
      <c r="G31" s="32"/>
      <c r="H31" s="32"/>
      <c r="I31" s="32"/>
      <c r="K31" s="10"/>
      <c r="M31" s="4"/>
      <c r="N31" s="13"/>
      <c r="O31" s="4"/>
      <c r="Q31" s="4"/>
      <c r="T31" s="17"/>
    </row>
    <row r="32" spans="1:20" ht="16.5" thickBot="1">
      <c r="A32" s="4" t="s">
        <v>50</v>
      </c>
      <c r="B32" s="24">
        <v>45000</v>
      </c>
      <c r="C32" s="41"/>
      <c r="D32" s="24">
        <f>16035.24+26752.2+2826.43</f>
        <v>45613.87</v>
      </c>
      <c r="E32" s="41"/>
      <c r="F32" s="24">
        <v>40000</v>
      </c>
      <c r="G32" s="41"/>
      <c r="H32" s="24">
        <v>43697</v>
      </c>
      <c r="I32" s="41"/>
      <c r="J32" s="24">
        <v>40000</v>
      </c>
      <c r="K32" s="43"/>
      <c r="L32" s="15">
        <f>5922.56+24166.73+440.74</f>
        <v>30530.030000000002</v>
      </c>
      <c r="M32" s="4"/>
      <c r="N32" s="20">
        <v>23500</v>
      </c>
      <c r="O32" s="4"/>
      <c r="P32" s="15">
        <v>17436</v>
      </c>
      <c r="Q32" s="4"/>
      <c r="R32" s="15">
        <v>17000</v>
      </c>
      <c r="T32" s="17"/>
    </row>
    <row r="33" spans="1:20" ht="16.5" thickBot="1">
      <c r="A33" s="4" t="s">
        <v>53</v>
      </c>
      <c r="B33" s="20">
        <v>3630</v>
      </c>
      <c r="C33" s="30"/>
      <c r="D33" s="20">
        <v>2722.5</v>
      </c>
      <c r="E33" s="30"/>
      <c r="F33" s="20">
        <v>3630</v>
      </c>
      <c r="G33" s="30"/>
      <c r="H33" s="20">
        <v>0</v>
      </c>
      <c r="I33" s="30"/>
      <c r="J33" s="20">
        <v>0</v>
      </c>
      <c r="K33" s="4"/>
      <c r="L33" s="42"/>
      <c r="M33" s="4"/>
      <c r="N33" s="24"/>
      <c r="O33" s="4"/>
      <c r="P33" s="42"/>
      <c r="Q33" s="4"/>
      <c r="R33" s="42"/>
      <c r="T33" s="17"/>
    </row>
    <row r="34" spans="1:20" ht="15.75">
      <c r="A34" s="4"/>
      <c r="B34" s="13">
        <f>SUM(B32:B33)</f>
        <v>48630</v>
      </c>
      <c r="C34" s="30"/>
      <c r="D34" s="13">
        <f>SUM(D32:D33)</f>
        <v>48336.37</v>
      </c>
      <c r="E34" s="30"/>
      <c r="F34" s="13">
        <f>SUM(F32:F33)</f>
        <v>43630</v>
      </c>
      <c r="G34" s="30"/>
      <c r="H34" s="13">
        <f>SUM(H32:H33)</f>
        <v>43697</v>
      </c>
      <c r="I34" s="30"/>
      <c r="J34" s="13">
        <f>SUM(J32:J33)</f>
        <v>40000</v>
      </c>
      <c r="K34" s="4"/>
      <c r="L34" s="3">
        <f>SUM(L31:L32)</f>
        <v>30530.030000000002</v>
      </c>
      <c r="M34" s="4"/>
      <c r="N34" s="13">
        <f>SUM(N31:N32)</f>
        <v>23500</v>
      </c>
      <c r="O34" s="4"/>
      <c r="P34" s="3">
        <f>SUM(P31:P32)</f>
        <v>17436</v>
      </c>
      <c r="Q34" s="4"/>
      <c r="R34" s="3">
        <f>SUM(R31:R32)</f>
        <v>17000</v>
      </c>
      <c r="T34" s="17"/>
    </row>
    <row r="35" spans="1:20" ht="15.75">
      <c r="A35" s="10" t="s">
        <v>28</v>
      </c>
      <c r="B35" s="13"/>
      <c r="C35" s="32"/>
      <c r="D35" s="13"/>
      <c r="E35" s="32"/>
      <c r="G35" s="32"/>
      <c r="H35" s="13"/>
      <c r="I35" s="32"/>
      <c r="K35" s="10"/>
      <c r="M35" s="4"/>
      <c r="N35" s="13"/>
      <c r="O35" s="4"/>
      <c r="Q35" s="4"/>
      <c r="T35" s="17"/>
    </row>
    <row r="36" spans="1:20" ht="15.75">
      <c r="A36" s="4" t="s">
        <v>29</v>
      </c>
      <c r="B36" s="13">
        <v>24500</v>
      </c>
      <c r="C36" s="30"/>
      <c r="D36" s="13">
        <v>26460.31</v>
      </c>
      <c r="E36" s="30"/>
      <c r="F36" s="13">
        <v>25000</v>
      </c>
      <c r="G36" s="30"/>
      <c r="H36" s="13">
        <v>24032.3</v>
      </c>
      <c r="I36" s="30"/>
      <c r="J36" s="13">
        <v>25000</v>
      </c>
      <c r="K36" s="4"/>
      <c r="L36" s="3">
        <v>20061</v>
      </c>
      <c r="M36" s="4"/>
      <c r="N36" s="13">
        <v>20000</v>
      </c>
      <c r="O36" s="4"/>
      <c r="P36" s="3">
        <v>18364</v>
      </c>
      <c r="Q36" s="4"/>
      <c r="R36" s="3">
        <v>16250</v>
      </c>
      <c r="T36" s="17"/>
    </row>
    <row r="37" spans="1:20" ht="15.75">
      <c r="A37" s="4" t="s">
        <v>30</v>
      </c>
      <c r="B37" s="13">
        <v>150</v>
      </c>
      <c r="C37" s="30"/>
      <c r="D37" s="13">
        <v>150</v>
      </c>
      <c r="E37" s="30"/>
      <c r="F37" s="13">
        <v>250</v>
      </c>
      <c r="G37" s="30"/>
      <c r="H37" s="13">
        <v>147.5</v>
      </c>
      <c r="I37" s="30"/>
      <c r="J37" s="13">
        <v>280</v>
      </c>
      <c r="K37" s="4"/>
      <c r="L37" s="3">
        <v>603</v>
      </c>
      <c r="M37" s="4"/>
      <c r="N37" s="13">
        <v>500</v>
      </c>
      <c r="O37" s="4"/>
      <c r="P37" s="3">
        <v>308</v>
      </c>
      <c r="Q37" s="4"/>
      <c r="R37" s="3">
        <v>150</v>
      </c>
      <c r="T37" s="17"/>
    </row>
    <row r="38" spans="1:20" ht="16.5" thickBot="1">
      <c r="A38" s="4" t="s">
        <v>31</v>
      </c>
      <c r="B38" s="20">
        <v>500</v>
      </c>
      <c r="C38" s="30"/>
      <c r="D38" s="20">
        <v>503.68</v>
      </c>
      <c r="E38" s="30"/>
      <c r="F38" s="20">
        <v>750</v>
      </c>
      <c r="G38" s="30"/>
      <c r="H38" s="20">
        <v>851.88</v>
      </c>
      <c r="I38" s="30"/>
      <c r="J38" s="20">
        <v>1000</v>
      </c>
      <c r="K38" s="4"/>
      <c r="L38" s="15">
        <v>2157</v>
      </c>
      <c r="M38" s="4"/>
      <c r="N38" s="20">
        <v>0</v>
      </c>
      <c r="O38" s="4"/>
      <c r="P38" s="15">
        <v>2096</v>
      </c>
      <c r="Q38" s="4"/>
      <c r="R38" s="15">
        <v>1250</v>
      </c>
      <c r="T38" s="17"/>
    </row>
    <row r="39" spans="1:22" ht="15.75">
      <c r="A39" s="4"/>
      <c r="B39" s="13">
        <f>SUM(B35:B38)</f>
        <v>25150</v>
      </c>
      <c r="C39" s="30"/>
      <c r="D39" s="13">
        <f>SUM(D35:D38)</f>
        <v>27113.99</v>
      </c>
      <c r="E39" s="30"/>
      <c r="F39" s="13">
        <f>SUM(F35:F38)</f>
        <v>26000</v>
      </c>
      <c r="G39" s="30"/>
      <c r="H39" s="13">
        <f>SUM(H35:H38)</f>
        <v>25031.68</v>
      </c>
      <c r="I39" s="30"/>
      <c r="J39" s="13">
        <f>SUM(J35:J38)</f>
        <v>26280</v>
      </c>
      <c r="K39" s="4"/>
      <c r="L39" s="3">
        <f>SUM(L35:L38)</f>
        <v>22821</v>
      </c>
      <c r="M39" s="4"/>
      <c r="N39" s="13">
        <f>SUM(N35:N38)</f>
        <v>20500</v>
      </c>
      <c r="O39" s="4"/>
      <c r="P39" s="3">
        <f>SUM(P35:P38)</f>
        <v>20768</v>
      </c>
      <c r="Q39" s="4"/>
      <c r="R39" s="3">
        <f>SUM(R35:R38)</f>
        <v>17650</v>
      </c>
      <c r="T39" s="18" t="s">
        <v>13</v>
      </c>
      <c r="V39" s="1" t="s">
        <v>13</v>
      </c>
    </row>
    <row r="40" spans="1:20" ht="15.75">
      <c r="A40" s="10" t="s">
        <v>32</v>
      </c>
      <c r="B40" s="13"/>
      <c r="C40" s="32"/>
      <c r="D40" s="32"/>
      <c r="E40" s="32"/>
      <c r="G40" s="32"/>
      <c r="H40" s="32"/>
      <c r="I40" s="32"/>
      <c r="K40" s="10"/>
      <c r="M40" s="4"/>
      <c r="N40" s="13"/>
      <c r="O40" s="4"/>
      <c r="Q40" s="4"/>
      <c r="T40" s="17"/>
    </row>
    <row r="41" spans="1:20" ht="15.75">
      <c r="A41" s="4" t="s">
        <v>33</v>
      </c>
      <c r="B41" s="13">
        <v>250</v>
      </c>
      <c r="C41" s="30"/>
      <c r="D41" s="13">
        <v>491.58</v>
      </c>
      <c r="E41" s="30"/>
      <c r="F41" s="13">
        <v>250</v>
      </c>
      <c r="G41" s="30"/>
      <c r="H41" s="13">
        <f>302.5+189.79</f>
        <v>492.28999999999996</v>
      </c>
      <c r="I41" s="30"/>
      <c r="J41" s="13">
        <v>250</v>
      </c>
      <c r="K41" s="4"/>
      <c r="L41" s="3">
        <v>277</v>
      </c>
      <c r="M41" s="4"/>
      <c r="N41" s="13">
        <v>225</v>
      </c>
      <c r="O41" s="4"/>
      <c r="P41" s="3">
        <v>224</v>
      </c>
      <c r="Q41" s="4"/>
      <c r="R41" s="3">
        <v>200</v>
      </c>
      <c r="T41" s="17"/>
    </row>
    <row r="42" spans="1:20" ht="15.75">
      <c r="A42" s="4" t="s">
        <v>48</v>
      </c>
      <c r="B42" s="13">
        <v>3000</v>
      </c>
      <c r="C42" s="30"/>
      <c r="D42" s="13">
        <v>3196.51</v>
      </c>
      <c r="E42" s="30"/>
      <c r="F42" s="13">
        <v>3000</v>
      </c>
      <c r="G42" s="30"/>
      <c r="H42" s="13">
        <v>2739.75</v>
      </c>
      <c r="I42" s="30"/>
      <c r="J42" s="13">
        <v>3100</v>
      </c>
      <c r="K42" s="4"/>
      <c r="L42" s="3">
        <f>932+332.75+2453.56</f>
        <v>3718.31</v>
      </c>
      <c r="M42" s="4"/>
      <c r="N42" s="13">
        <v>2500</v>
      </c>
      <c r="O42" s="4"/>
      <c r="P42" s="3">
        <v>1025</v>
      </c>
      <c r="Q42" s="4"/>
      <c r="R42" s="3">
        <v>500</v>
      </c>
      <c r="T42" s="17"/>
    </row>
    <row r="43" spans="1:20" ht="16.5" thickBot="1">
      <c r="A43" s="4" t="s">
        <v>49</v>
      </c>
      <c r="B43" s="20">
        <v>250</v>
      </c>
      <c r="C43" s="30"/>
      <c r="D43" s="20">
        <v>408.86</v>
      </c>
      <c r="E43" s="30"/>
      <c r="F43" s="20">
        <v>250</v>
      </c>
      <c r="G43" s="30"/>
      <c r="H43" s="20">
        <v>1019.31</v>
      </c>
      <c r="I43" s="30"/>
      <c r="J43" s="20">
        <v>0</v>
      </c>
      <c r="K43" s="4"/>
      <c r="L43" s="15">
        <v>1499</v>
      </c>
      <c r="M43" s="4"/>
      <c r="N43" s="20">
        <v>0</v>
      </c>
      <c r="O43" s="4"/>
      <c r="P43" s="15">
        <v>-3690</v>
      </c>
      <c r="Q43" s="4"/>
      <c r="R43" s="15">
        <v>1250</v>
      </c>
      <c r="T43" s="17"/>
    </row>
    <row r="44" spans="1:22" ht="15.75">
      <c r="A44" s="4"/>
      <c r="B44" s="13">
        <f>SUM(B40:B43)</f>
        <v>3500</v>
      </c>
      <c r="C44" s="30"/>
      <c r="D44" s="13">
        <f>SUM(D40:D43)</f>
        <v>4096.95</v>
      </c>
      <c r="E44" s="30"/>
      <c r="F44" s="13">
        <f>SUM(F40:F43)</f>
        <v>3500</v>
      </c>
      <c r="G44" s="30"/>
      <c r="H44" s="13">
        <f>SUM(H40:H43)</f>
        <v>4251.35</v>
      </c>
      <c r="I44" s="30"/>
      <c r="J44" s="13">
        <f>SUM(J40:J43)</f>
        <v>3350</v>
      </c>
      <c r="K44" s="4"/>
      <c r="L44" s="3">
        <f>SUM(L40:L43)</f>
        <v>5494.3099999999995</v>
      </c>
      <c r="M44" s="4"/>
      <c r="N44" s="13">
        <f>SUM(N40:N43)</f>
        <v>2725</v>
      </c>
      <c r="O44" s="4"/>
      <c r="P44" s="3">
        <f>SUM(P40:P43)</f>
        <v>-2441</v>
      </c>
      <c r="Q44" s="4"/>
      <c r="R44" s="3">
        <f>SUM(R40:R43)</f>
        <v>1950</v>
      </c>
      <c r="T44" s="18" t="s">
        <v>13</v>
      </c>
      <c r="V44" s="1" t="s">
        <v>13</v>
      </c>
    </row>
    <row r="45" spans="1:20" ht="15.75">
      <c r="A45" s="10" t="s">
        <v>34</v>
      </c>
      <c r="B45" s="13"/>
      <c r="C45" s="32"/>
      <c r="D45" s="13"/>
      <c r="E45" s="32"/>
      <c r="G45" s="32"/>
      <c r="H45" s="13"/>
      <c r="I45" s="32"/>
      <c r="K45" s="10"/>
      <c r="M45" s="4"/>
      <c r="N45" s="13"/>
      <c r="O45" s="4"/>
      <c r="Q45" s="4"/>
      <c r="T45" s="17"/>
    </row>
    <row r="46" spans="1:20" ht="15.75">
      <c r="A46" s="4" t="s">
        <v>35</v>
      </c>
      <c r="B46" s="13">
        <v>14500</v>
      </c>
      <c r="C46" s="30"/>
      <c r="D46" s="13">
        <v>8815.49</v>
      </c>
      <c r="E46" s="30"/>
      <c r="F46" s="13">
        <v>10000</v>
      </c>
      <c r="G46" s="30"/>
      <c r="H46" s="13">
        <v>11756.36</v>
      </c>
      <c r="I46" s="30"/>
      <c r="J46" s="13">
        <v>15000</v>
      </c>
      <c r="K46" s="4"/>
      <c r="L46" s="3">
        <v>13629</v>
      </c>
      <c r="M46" s="4"/>
      <c r="N46" s="13">
        <v>12000</v>
      </c>
      <c r="O46" s="4"/>
      <c r="P46" s="3">
        <v>11047</v>
      </c>
      <c r="Q46" s="4"/>
      <c r="R46" s="3">
        <v>7500</v>
      </c>
      <c r="T46" s="17"/>
    </row>
    <row r="47" spans="1:20" ht="15.75">
      <c r="A47" s="4" t="s">
        <v>47</v>
      </c>
      <c r="B47" s="13">
        <v>1500</v>
      </c>
      <c r="C47" s="30"/>
      <c r="D47" s="13">
        <v>1023.5</v>
      </c>
      <c r="E47" s="30"/>
      <c r="F47" s="13">
        <v>1250</v>
      </c>
      <c r="G47" s="30"/>
      <c r="H47" s="13">
        <v>3427.5</v>
      </c>
      <c r="I47" s="30"/>
      <c r="J47" s="13">
        <v>3000</v>
      </c>
      <c r="K47" s="4"/>
      <c r="L47" s="3">
        <v>0</v>
      </c>
      <c r="M47" s="4"/>
      <c r="N47" s="13">
        <v>0</v>
      </c>
      <c r="O47" s="4"/>
      <c r="P47" s="3">
        <v>0</v>
      </c>
      <c r="Q47" s="4"/>
      <c r="R47" s="3">
        <v>0</v>
      </c>
      <c r="T47" s="17"/>
    </row>
    <row r="48" spans="1:20" ht="15.75">
      <c r="A48" s="4" t="s">
        <v>36</v>
      </c>
      <c r="B48" s="13">
        <v>750</v>
      </c>
      <c r="C48" s="30"/>
      <c r="D48" s="13">
        <v>740</v>
      </c>
      <c r="E48" s="30"/>
      <c r="F48" s="13">
        <v>750</v>
      </c>
      <c r="G48" s="30"/>
      <c r="H48" s="13">
        <v>716.04</v>
      </c>
      <c r="I48" s="30"/>
      <c r="J48" s="13">
        <v>1000</v>
      </c>
      <c r="K48" s="4"/>
      <c r="L48" s="3">
        <v>507</v>
      </c>
      <c r="M48" s="4"/>
      <c r="N48" s="13">
        <v>1000</v>
      </c>
      <c r="O48" s="4"/>
      <c r="P48" s="3">
        <v>1165</v>
      </c>
      <c r="Q48" s="4"/>
      <c r="R48" s="3">
        <v>500</v>
      </c>
      <c r="T48" s="17"/>
    </row>
    <row r="49" spans="1:20" ht="16.5" thickBot="1">
      <c r="A49" s="4" t="s">
        <v>37</v>
      </c>
      <c r="B49" s="20">
        <v>100</v>
      </c>
      <c r="C49" s="30"/>
      <c r="D49" s="20">
        <v>0</v>
      </c>
      <c r="E49" s="30"/>
      <c r="F49" s="20">
        <v>250</v>
      </c>
      <c r="G49" s="30"/>
      <c r="H49" s="20">
        <v>-158.56</v>
      </c>
      <c r="I49" s="30"/>
      <c r="J49" s="20">
        <v>1000</v>
      </c>
      <c r="K49" s="4"/>
      <c r="L49" s="15">
        <f>287.67+203.8+45.62+173.65+795</f>
        <v>1505.74</v>
      </c>
      <c r="M49" s="4"/>
      <c r="N49" s="20">
        <v>250</v>
      </c>
      <c r="O49" s="4"/>
      <c r="P49" s="15">
        <f>245+208</f>
        <v>453</v>
      </c>
      <c r="Q49" s="4"/>
      <c r="R49" s="15">
        <v>450</v>
      </c>
      <c r="T49" s="17"/>
    </row>
    <row r="50" spans="1:22" ht="15.75">
      <c r="A50" s="4"/>
      <c r="B50" s="13">
        <f>SUM(B45:B49)</f>
        <v>16850</v>
      </c>
      <c r="C50" s="30"/>
      <c r="D50" s="13">
        <f>SUM(D45:D49)</f>
        <v>10578.99</v>
      </c>
      <c r="E50" s="30"/>
      <c r="F50" s="13">
        <f>SUM(F45:F49)</f>
        <v>12250</v>
      </c>
      <c r="G50" s="30"/>
      <c r="H50" s="13">
        <f>SUM(H45:H49)</f>
        <v>15741.340000000002</v>
      </c>
      <c r="I50" s="30"/>
      <c r="J50" s="13">
        <f>SUM(J45:J49)</f>
        <v>20000</v>
      </c>
      <c r="K50" s="4"/>
      <c r="L50" s="3">
        <f>SUM(L45:L49)</f>
        <v>15641.74</v>
      </c>
      <c r="M50" s="4"/>
      <c r="N50" s="13">
        <f>SUM(N45:N49)</f>
        <v>13250</v>
      </c>
      <c r="O50" s="4"/>
      <c r="P50" s="3">
        <f>SUM(P45:P49)</f>
        <v>12665</v>
      </c>
      <c r="Q50" s="4"/>
      <c r="R50" s="3">
        <f>SUM(R45:R49)</f>
        <v>8450</v>
      </c>
      <c r="T50" s="18" t="s">
        <v>13</v>
      </c>
      <c r="V50" s="1" t="s">
        <v>13</v>
      </c>
    </row>
    <row r="51" spans="1:20" ht="15.75">
      <c r="A51" s="10" t="s">
        <v>38</v>
      </c>
      <c r="B51" s="13"/>
      <c r="C51" s="32"/>
      <c r="D51" s="13"/>
      <c r="E51" s="32"/>
      <c r="G51" s="32"/>
      <c r="H51" s="13"/>
      <c r="I51" s="32"/>
      <c r="K51" s="10"/>
      <c r="M51" s="4"/>
      <c r="N51" s="13"/>
      <c r="O51" s="4"/>
      <c r="Q51" s="4"/>
      <c r="T51" s="17"/>
    </row>
    <row r="52" spans="1:20" ht="15.75">
      <c r="A52" s="4" t="s">
        <v>39</v>
      </c>
      <c r="B52" s="13">
        <v>5000</v>
      </c>
      <c r="C52" s="30"/>
      <c r="D52" s="13">
        <v>5042.63</v>
      </c>
      <c r="E52" s="30"/>
      <c r="F52" s="13">
        <v>5000</v>
      </c>
      <c r="G52" s="30"/>
      <c r="H52" s="13">
        <v>4859.16</v>
      </c>
      <c r="I52" s="30"/>
      <c r="J52" s="13">
        <v>5250</v>
      </c>
      <c r="K52" s="4"/>
      <c r="L52" s="3">
        <v>4770</v>
      </c>
      <c r="M52" s="4"/>
      <c r="N52" s="13">
        <v>3000</v>
      </c>
      <c r="O52" s="4"/>
      <c r="P52" s="3">
        <v>6927</v>
      </c>
      <c r="Q52" s="4"/>
      <c r="R52" s="3">
        <v>2850</v>
      </c>
      <c r="T52" s="17"/>
    </row>
    <row r="53" spans="1:20" ht="15.75">
      <c r="A53" s="4" t="s">
        <v>3</v>
      </c>
      <c r="B53" s="13">
        <v>2250</v>
      </c>
      <c r="C53" s="30"/>
      <c r="D53" s="13">
        <v>2756.65</v>
      </c>
      <c r="E53" s="30"/>
      <c r="F53" s="13">
        <v>2500</v>
      </c>
      <c r="G53" s="30"/>
      <c r="H53" s="13">
        <v>2511.59</v>
      </c>
      <c r="I53" s="30"/>
      <c r="J53" s="13">
        <v>2500</v>
      </c>
      <c r="K53" s="4"/>
      <c r="L53" s="3">
        <v>1937.58</v>
      </c>
      <c r="M53" s="4"/>
      <c r="N53" s="13">
        <v>1250</v>
      </c>
      <c r="O53" s="4"/>
      <c r="P53" s="3">
        <v>1384</v>
      </c>
      <c r="Q53" s="4"/>
      <c r="R53" s="3">
        <v>900</v>
      </c>
      <c r="T53" s="17"/>
    </row>
    <row r="54" spans="1:20" ht="15.75">
      <c r="A54" s="4" t="s">
        <v>43</v>
      </c>
      <c r="B54" s="13">
        <v>100</v>
      </c>
      <c r="C54" s="30"/>
      <c r="D54" s="13">
        <f>-805.57-6.33</f>
        <v>-811.9000000000001</v>
      </c>
      <c r="E54" s="30"/>
      <c r="F54" s="13">
        <v>-800</v>
      </c>
      <c r="G54" s="30"/>
      <c r="H54" s="13">
        <f>-22.67-986.84</f>
        <v>-1009.51</v>
      </c>
      <c r="I54" s="30"/>
      <c r="J54" s="13">
        <v>-980</v>
      </c>
      <c r="K54" s="4"/>
      <c r="L54" s="3">
        <v>-1328</v>
      </c>
      <c r="M54" s="4"/>
      <c r="N54" s="13">
        <v>-1325</v>
      </c>
      <c r="O54" s="4"/>
      <c r="P54" s="3">
        <v>-1488</v>
      </c>
      <c r="Q54" s="4"/>
      <c r="R54" s="3">
        <v>0</v>
      </c>
      <c r="T54" s="17"/>
    </row>
    <row r="55" spans="1:20" ht="16.5" thickBot="1">
      <c r="A55" s="4" t="s">
        <v>20</v>
      </c>
      <c r="B55" s="20">
        <v>270</v>
      </c>
      <c r="C55" s="30"/>
      <c r="D55" s="20">
        <v>238.39</v>
      </c>
      <c r="E55" s="30"/>
      <c r="F55" s="20">
        <v>270</v>
      </c>
      <c r="G55" s="30"/>
      <c r="H55" s="20">
        <v>223.85</v>
      </c>
      <c r="I55" s="30"/>
      <c r="J55" s="20">
        <v>100</v>
      </c>
      <c r="K55" s="4"/>
      <c r="L55" s="15">
        <f>206-2131.9</f>
        <v>-1925.9</v>
      </c>
      <c r="M55" s="4"/>
      <c r="N55" s="20">
        <v>200</v>
      </c>
      <c r="O55" s="4"/>
      <c r="P55" s="15">
        <v>1355</v>
      </c>
      <c r="Q55" s="4"/>
      <c r="R55" s="15">
        <v>100</v>
      </c>
      <c r="T55" s="17"/>
    </row>
    <row r="56" spans="1:22" ht="15.75">
      <c r="A56" s="4"/>
      <c r="B56" s="13">
        <f>SUM(B51:B55)</f>
        <v>7620</v>
      </c>
      <c r="C56" s="30"/>
      <c r="D56" s="13">
        <f>SUM(D51:D55)</f>
        <v>7225.770000000001</v>
      </c>
      <c r="E56" s="30"/>
      <c r="F56" s="13">
        <f>SUM(F51:F55)</f>
        <v>6970</v>
      </c>
      <c r="G56" s="30"/>
      <c r="H56" s="13">
        <f>SUM(H51:H55)</f>
        <v>6585.09</v>
      </c>
      <c r="I56" s="30"/>
      <c r="J56" s="13">
        <f>SUM(J51:J55)</f>
        <v>6870</v>
      </c>
      <c r="K56" s="4"/>
      <c r="L56" s="3">
        <f>SUM(L51:L55)</f>
        <v>3453.68</v>
      </c>
      <c r="M56" s="4"/>
      <c r="N56" s="13">
        <f>SUM(N51:N55)</f>
        <v>3125</v>
      </c>
      <c r="O56" s="4"/>
      <c r="P56" s="3">
        <f>SUM(P51:P55)</f>
        <v>8178</v>
      </c>
      <c r="Q56" s="4"/>
      <c r="R56" s="3">
        <f>SUM(R51:R55)</f>
        <v>3850</v>
      </c>
      <c r="T56" s="18" t="s">
        <v>13</v>
      </c>
      <c r="V56" s="1" t="s">
        <v>13</v>
      </c>
    </row>
    <row r="57" spans="1:21" ht="15.75">
      <c r="A57" s="4"/>
      <c r="B57" s="13"/>
      <c r="C57" s="30"/>
      <c r="D57" s="13"/>
      <c r="E57" s="30"/>
      <c r="G57" s="30"/>
      <c r="H57" s="13"/>
      <c r="I57" s="30"/>
      <c r="K57" s="4"/>
      <c r="M57" s="4"/>
      <c r="N57" s="13"/>
      <c r="O57" s="4"/>
      <c r="Q57" s="4"/>
      <c r="T57" s="17"/>
      <c r="U57" s="1" t="s">
        <v>13</v>
      </c>
    </row>
    <row r="58" spans="1:20" ht="15.75">
      <c r="A58" s="10" t="s">
        <v>12</v>
      </c>
      <c r="B58" s="25">
        <f>B15+B20+B30+B34+B39+B44+B50+B56</f>
        <v>312000</v>
      </c>
      <c r="C58" s="32"/>
      <c r="D58" s="25">
        <f>D15+D20+D30+D34+D39+D44+D50+D56</f>
        <v>328930.2</v>
      </c>
      <c r="E58" s="32"/>
      <c r="F58" s="25">
        <f>F15+F20+F30+F34+F39+F44+F50+F56</f>
        <v>308600</v>
      </c>
      <c r="G58" s="32"/>
      <c r="H58" s="25">
        <f>H15+H20+H30+H34+H39+H44+H50+H56</f>
        <v>297493.17000000004</v>
      </c>
      <c r="I58" s="32"/>
      <c r="J58" s="25">
        <f>J15+J20+J30+J34+J39+J44+J50+J56</f>
        <v>291000</v>
      </c>
      <c r="K58" s="4"/>
      <c r="L58" s="25">
        <f>L15+L20+L30+L34+L39+L44+L50+L56</f>
        <v>255136.75999999998</v>
      </c>
      <c r="M58" s="4"/>
      <c r="N58" s="25">
        <f>N15+N20+N30+N34+N39+N44+N50+N56</f>
        <v>227230</v>
      </c>
      <c r="O58" s="4"/>
      <c r="P58" s="25">
        <f>P15+P20+P30+P34+P39+P44+P50+P56</f>
        <v>234752</v>
      </c>
      <c r="Q58" s="4"/>
      <c r="R58" s="25">
        <f>R15+R20+R30+R34+R39+R44+R50+R56</f>
        <v>206480</v>
      </c>
      <c r="T58" s="17"/>
    </row>
    <row r="59" spans="2:20" ht="15.75">
      <c r="B59" s="13"/>
      <c r="C59" s="38"/>
      <c r="D59" s="13"/>
      <c r="E59" s="38"/>
      <c r="G59" s="38"/>
      <c r="H59" s="13"/>
      <c r="I59" s="38"/>
      <c r="K59" s="4"/>
      <c r="M59" s="4"/>
      <c r="N59" s="13"/>
      <c r="O59" s="4"/>
      <c r="Q59" s="4"/>
      <c r="T59" s="17"/>
    </row>
    <row r="60" spans="1:20" ht="16.5" thickBot="1">
      <c r="A60" s="10" t="s">
        <v>40</v>
      </c>
      <c r="B60" s="28">
        <f>SUM(B12-B58)</f>
        <v>0</v>
      </c>
      <c r="C60" s="32"/>
      <c r="D60" s="28">
        <f>SUM(D12-D58)</f>
        <v>-5041.70000000007</v>
      </c>
      <c r="E60" s="32"/>
      <c r="F60" s="28">
        <f>SUM(F12-F58)</f>
        <v>0</v>
      </c>
      <c r="G60" s="32"/>
      <c r="H60" s="28">
        <f>SUM(H12-H58)</f>
        <v>10668.079999999958</v>
      </c>
      <c r="I60" s="32"/>
      <c r="J60" s="28">
        <f>SUM(J12-J58)</f>
        <v>0</v>
      </c>
      <c r="K60" s="4"/>
      <c r="L60" s="29">
        <f>SUM(L12-L58)</f>
        <v>-131.55999999996857</v>
      </c>
      <c r="M60" s="4"/>
      <c r="N60" s="28">
        <f>SUM(N12-N58)</f>
        <v>-6780</v>
      </c>
      <c r="O60" s="4"/>
      <c r="P60" s="29">
        <f>SUM(P12-P58)</f>
        <v>5846</v>
      </c>
      <c r="Q60" s="4"/>
      <c r="R60" s="29">
        <f>SUM(R12-R58)</f>
        <v>1120</v>
      </c>
      <c r="T60" s="17"/>
    </row>
    <row r="61" spans="7:20" ht="16.5" thickTop="1">
      <c r="G61" s="4"/>
      <c r="H61" s="30"/>
      <c r="I61" s="4"/>
      <c r="M61" s="4"/>
      <c r="O61" s="4"/>
      <c r="P61" s="13"/>
      <c r="Q61" s="4"/>
      <c r="T61" s="17"/>
    </row>
    <row r="62" spans="1:20" ht="15.75">
      <c r="A62" s="4"/>
      <c r="B62" s="4"/>
      <c r="C62" s="4"/>
      <c r="D62" s="30"/>
      <c r="E62" s="4"/>
      <c r="G62" s="4"/>
      <c r="H62" s="30"/>
      <c r="I62" s="4"/>
      <c r="T62" s="17"/>
    </row>
    <row r="63" ht="15.75">
      <c r="T63" s="17"/>
    </row>
    <row r="64" ht="15.75">
      <c r="T64" s="17"/>
    </row>
    <row r="65" s="1" customFormat="1" ht="15.75">
      <c r="T65" s="17" t="s">
        <v>13</v>
      </c>
    </row>
    <row r="66" s="1" customFormat="1" ht="15.75">
      <c r="T66" s="17"/>
    </row>
  </sheetData>
  <sheetProtection/>
  <mergeCells count="1">
    <mergeCell ref="A1:R1"/>
  </mergeCells>
  <printOptions/>
  <pageMargins left="0.75" right="0.75" top="1" bottom="1" header="0.5" footer="0.5"/>
  <pageSetup orientation="portrait" paperSize="9" scale="74"/>
  <rowBreaks count="1" manualBreakCount="1">
    <brk id="62" max="255"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W66"/>
  <sheetViews>
    <sheetView zoomScale="150" zoomScaleNormal="150" zoomScalePageLayoutView="0" workbookViewId="0" topLeftCell="A1">
      <pane ySplit="5" topLeftCell="A42" activePane="bottomLeft" state="frozen"/>
      <selection pane="topLeft" activeCell="A1" sqref="A1"/>
      <selection pane="bottomLeft" activeCell="A23" sqref="A23"/>
    </sheetView>
  </sheetViews>
  <sheetFormatPr defaultColWidth="9.00390625" defaultRowHeight="14.25"/>
  <cols>
    <col min="1" max="1" width="26.875" style="1" bestFit="1" customWidth="1"/>
    <col min="2" max="2" width="12.50390625" style="1" customWidth="1"/>
    <col min="3" max="3" width="1.4921875" style="1" customWidth="1"/>
    <col min="4" max="4" width="12.50390625" style="38" customWidth="1"/>
    <col min="5" max="5" width="1.4921875" style="1" customWidth="1"/>
    <col min="6" max="6" width="12.50390625" style="13" bestFit="1" customWidth="1"/>
    <col min="7" max="7" width="1.4921875" style="1" customWidth="1"/>
    <col min="8" max="8" width="10.875" style="38" bestFit="1" customWidth="1"/>
    <col min="9" max="9" width="1.4921875" style="1" customWidth="1"/>
    <col min="10" max="10" width="12.50390625" style="13" bestFit="1" customWidth="1"/>
    <col min="11" max="11" width="1.4921875" style="13" customWidth="1"/>
    <col min="12" max="12" width="11.625" style="3" hidden="1" customWidth="1"/>
    <col min="13" max="13" width="1.4921875" style="1" hidden="1" customWidth="1"/>
    <col min="14" max="14" width="12.50390625" style="3" hidden="1" customWidth="1"/>
    <col min="15" max="15" width="1.4921875" style="1" customWidth="1"/>
    <col min="16" max="16" width="11.625" style="3" hidden="1" customWidth="1"/>
    <col min="17" max="17" width="1.4921875" style="1" hidden="1" customWidth="1"/>
    <col min="18" max="18" width="12.50390625" style="3" hidden="1" customWidth="1"/>
    <col min="19" max="19" width="9.00390625" style="1" customWidth="1"/>
    <col min="20" max="20" width="10.50390625" style="1" bestFit="1" customWidth="1"/>
    <col min="21" max="16384" width="9.00390625" style="1" customWidth="1"/>
  </cols>
  <sheetData>
    <row r="1" spans="1:18" ht="15.75">
      <c r="A1" s="46" t="s">
        <v>51</v>
      </c>
      <c r="B1" s="46"/>
      <c r="C1" s="46"/>
      <c r="D1" s="46"/>
      <c r="E1" s="46"/>
      <c r="F1" s="47"/>
      <c r="G1" s="47"/>
      <c r="H1" s="47"/>
      <c r="I1" s="47"/>
      <c r="J1" s="47"/>
      <c r="K1" s="47"/>
      <c r="L1" s="47"/>
      <c r="M1" s="47"/>
      <c r="N1" s="47"/>
      <c r="O1" s="47"/>
      <c r="P1" s="47"/>
      <c r="Q1" s="47"/>
      <c r="R1" s="47"/>
    </row>
    <row r="2" spans="1:9" ht="15.75">
      <c r="A2" s="2"/>
      <c r="B2" s="2"/>
      <c r="C2" s="2"/>
      <c r="D2" s="34"/>
      <c r="E2" s="2"/>
      <c r="G2" s="2"/>
      <c r="H2" s="34"/>
      <c r="I2" s="2"/>
    </row>
    <row r="3" spans="1:18" ht="15.75">
      <c r="A3" s="4"/>
      <c r="B3" s="21" t="s">
        <v>4</v>
      </c>
      <c r="C3" s="4"/>
      <c r="D3" s="30" t="s">
        <v>5</v>
      </c>
      <c r="E3" s="30"/>
      <c r="F3" s="21" t="s">
        <v>4</v>
      </c>
      <c r="G3" s="4"/>
      <c r="H3" s="30" t="s">
        <v>5</v>
      </c>
      <c r="I3" s="4"/>
      <c r="J3" s="21" t="s">
        <v>4</v>
      </c>
      <c r="K3" s="21"/>
      <c r="L3" s="5" t="s">
        <v>5</v>
      </c>
      <c r="M3" s="4"/>
      <c r="N3" s="21" t="s">
        <v>4</v>
      </c>
      <c r="O3" s="4"/>
      <c r="P3" s="5" t="s">
        <v>5</v>
      </c>
      <c r="Q3" s="4"/>
      <c r="R3" s="5" t="s">
        <v>4</v>
      </c>
    </row>
    <row r="4" spans="1:18" ht="15.75">
      <c r="A4" s="4"/>
      <c r="B4" s="26" t="s">
        <v>52</v>
      </c>
      <c r="C4" s="4"/>
      <c r="D4" s="40" t="s">
        <v>46</v>
      </c>
      <c r="E4" s="26"/>
      <c r="F4" s="26" t="s">
        <v>46</v>
      </c>
      <c r="G4" s="4"/>
      <c r="H4" s="35" t="s">
        <v>44</v>
      </c>
      <c r="I4" s="4"/>
      <c r="J4" s="26" t="s">
        <v>44</v>
      </c>
      <c r="K4" s="22"/>
      <c r="L4" s="6" t="s">
        <v>14</v>
      </c>
      <c r="M4" s="4"/>
      <c r="N4" s="26" t="s">
        <v>14</v>
      </c>
      <c r="O4" s="7"/>
      <c r="P4" s="6" t="s">
        <v>15</v>
      </c>
      <c r="Q4" s="7"/>
      <c r="R4" s="6" t="s">
        <v>15</v>
      </c>
    </row>
    <row r="5" spans="1:18" ht="15.75">
      <c r="A5" s="4"/>
      <c r="B5" s="27" t="s">
        <v>6</v>
      </c>
      <c r="C5" s="4"/>
      <c r="D5" s="36" t="s">
        <v>6</v>
      </c>
      <c r="E5" s="36"/>
      <c r="F5" s="27" t="s">
        <v>6</v>
      </c>
      <c r="G5" s="4"/>
      <c r="H5" s="36" t="s">
        <v>6</v>
      </c>
      <c r="I5" s="4"/>
      <c r="J5" s="27" t="s">
        <v>6</v>
      </c>
      <c r="K5" s="23"/>
      <c r="L5" s="8" t="s">
        <v>6</v>
      </c>
      <c r="M5" s="4"/>
      <c r="N5" s="27" t="s">
        <v>6</v>
      </c>
      <c r="O5" s="7"/>
      <c r="P5" s="8" t="s">
        <v>6</v>
      </c>
      <c r="Q5" s="7"/>
      <c r="R5" s="8" t="s">
        <v>6</v>
      </c>
    </row>
    <row r="6" spans="1:20" ht="15.75">
      <c r="A6" s="10" t="s">
        <v>7</v>
      </c>
      <c r="B6" s="10"/>
      <c r="C6" s="10"/>
      <c r="D6" s="32"/>
      <c r="E6" s="10"/>
      <c r="F6" s="23"/>
      <c r="G6" s="4"/>
      <c r="H6" s="30"/>
      <c r="I6" s="4"/>
      <c r="J6" s="23"/>
      <c r="K6" s="23"/>
      <c r="L6" s="9"/>
      <c r="M6" s="4"/>
      <c r="N6" s="23"/>
      <c r="O6" s="7"/>
      <c r="P6" s="9"/>
      <c r="Q6" s="7"/>
      <c r="R6" s="9"/>
      <c r="T6" s="16"/>
    </row>
    <row r="7" spans="1:20" ht="15.75">
      <c r="A7" s="4" t="s">
        <v>8</v>
      </c>
      <c r="B7" s="13">
        <f>FLOOR(D7*1.05,1000)</f>
        <v>191000</v>
      </c>
      <c r="C7" s="30"/>
      <c r="D7" s="30">
        <v>182776.25</v>
      </c>
      <c r="E7" s="30"/>
      <c r="F7" s="13">
        <f>(142000*1.09)+20220</f>
        <v>175000</v>
      </c>
      <c r="G7" s="4"/>
      <c r="H7" s="30">
        <v>167000</v>
      </c>
      <c r="I7" s="4"/>
      <c r="J7" s="13">
        <v>147750</v>
      </c>
      <c r="L7" s="3">
        <v>148920</v>
      </c>
      <c r="M7" s="4"/>
      <c r="N7" s="13">
        <v>130000</v>
      </c>
      <c r="O7" s="4"/>
      <c r="P7" s="3">
        <v>146869</v>
      </c>
      <c r="Q7" s="4"/>
      <c r="R7" s="3">
        <v>123000</v>
      </c>
      <c r="T7" s="17" t="s">
        <v>13</v>
      </c>
    </row>
    <row r="8" spans="1:20" ht="15.75">
      <c r="A8" s="4" t="s">
        <v>16</v>
      </c>
      <c r="B8" s="13">
        <v>34000</v>
      </c>
      <c r="C8" s="30"/>
      <c r="D8" s="30">
        <v>40540</v>
      </c>
      <c r="E8" s="30"/>
      <c r="F8" s="13">
        <v>37000</v>
      </c>
      <c r="G8" s="4"/>
      <c r="H8" s="30">
        <v>38229.87</v>
      </c>
      <c r="I8" s="4"/>
      <c r="J8" s="13">
        <v>34000</v>
      </c>
      <c r="L8" s="3">
        <f>34704.2+627.5+227.5</f>
        <v>35559.2</v>
      </c>
      <c r="M8" s="4"/>
      <c r="N8" s="13">
        <v>30000</v>
      </c>
      <c r="O8" s="4"/>
      <c r="P8" s="3">
        <v>27602</v>
      </c>
      <c r="Q8" s="4"/>
      <c r="R8" s="3">
        <v>23000</v>
      </c>
      <c r="T8" s="18" t="s">
        <v>13</v>
      </c>
    </row>
    <row r="9" spans="1:20" ht="15.75">
      <c r="A9" s="14" t="s">
        <v>41</v>
      </c>
      <c r="B9" s="13">
        <v>72500</v>
      </c>
      <c r="C9" s="39"/>
      <c r="D9" s="39">
        <v>73356</v>
      </c>
      <c r="E9" s="39"/>
      <c r="F9" s="13">
        <v>70000</v>
      </c>
      <c r="G9" s="4"/>
      <c r="H9" s="30">
        <v>69306.76</v>
      </c>
      <c r="I9" s="4"/>
      <c r="J9" s="13">
        <v>62000</v>
      </c>
      <c r="L9" s="3">
        <v>62469</v>
      </c>
      <c r="M9" s="4"/>
      <c r="N9" s="13">
        <v>54450</v>
      </c>
      <c r="O9" s="4"/>
      <c r="P9" s="3">
        <v>57803</v>
      </c>
      <c r="Q9" s="4"/>
      <c r="R9" s="3">
        <v>53900</v>
      </c>
      <c r="T9" s="17"/>
    </row>
    <row r="10" spans="1:22" ht="15.75">
      <c r="A10" s="4" t="s">
        <v>17</v>
      </c>
      <c r="B10" s="13">
        <f>8000+2000</f>
        <v>10000</v>
      </c>
      <c r="C10" s="30"/>
      <c r="D10" s="30">
        <v>9893</v>
      </c>
      <c r="E10" s="30"/>
      <c r="F10" s="13">
        <v>7000</v>
      </c>
      <c r="G10" s="4"/>
      <c r="H10" s="30">
        <v>7950.97</v>
      </c>
      <c r="I10" s="4"/>
      <c r="J10" s="13">
        <v>8000</v>
      </c>
      <c r="L10" s="3">
        <v>7307</v>
      </c>
      <c r="M10" s="4"/>
      <c r="N10" s="13">
        <v>6000</v>
      </c>
      <c r="O10" s="4"/>
      <c r="P10" s="3">
        <f>4466+2791+967</f>
        <v>8224</v>
      </c>
      <c r="Q10" s="4"/>
      <c r="R10" s="3">
        <v>7700</v>
      </c>
      <c r="T10" s="17" t="s">
        <v>13</v>
      </c>
      <c r="V10" s="19" t="s">
        <v>13</v>
      </c>
    </row>
    <row r="11" spans="1:20" ht="16.5" thickBot="1">
      <c r="A11" s="4" t="s">
        <v>18</v>
      </c>
      <c r="B11" s="20">
        <v>1100</v>
      </c>
      <c r="C11" s="30"/>
      <c r="D11" s="33">
        <v>1596</v>
      </c>
      <c r="E11" s="33"/>
      <c r="F11" s="20">
        <v>2000</v>
      </c>
      <c r="G11" s="4"/>
      <c r="H11" s="33">
        <v>1227.62</v>
      </c>
      <c r="I11" s="4"/>
      <c r="J11" s="20">
        <v>750</v>
      </c>
      <c r="L11" s="15">
        <v>750</v>
      </c>
      <c r="M11" s="4"/>
      <c r="N11" s="20">
        <v>0</v>
      </c>
      <c r="O11" s="4"/>
      <c r="P11" s="15">
        <v>100</v>
      </c>
      <c r="Q11" s="4"/>
      <c r="R11" s="15">
        <v>0</v>
      </c>
      <c r="T11" s="17"/>
    </row>
    <row r="12" spans="1:22" ht="15.75">
      <c r="A12" s="4"/>
      <c r="B12" s="13">
        <f>SUM(B7:B11)</f>
        <v>308600</v>
      </c>
      <c r="C12" s="30"/>
      <c r="D12" s="30">
        <f>SUM(D7:D11)</f>
        <v>308161.25</v>
      </c>
      <c r="E12" s="30"/>
      <c r="F12" s="13">
        <f>SUM(F7:F11)</f>
        <v>291000</v>
      </c>
      <c r="G12" s="4"/>
      <c r="H12" s="37">
        <f>SUM(H7:H11)</f>
        <v>283715.22</v>
      </c>
      <c r="I12" s="4"/>
      <c r="J12" s="13">
        <f>SUM(J7:J11)</f>
        <v>252500</v>
      </c>
      <c r="L12" s="3">
        <f>SUM(L7:L11)</f>
        <v>255005.2</v>
      </c>
      <c r="M12" s="4"/>
      <c r="N12" s="13">
        <f>SUM(N7:N11)</f>
        <v>220450</v>
      </c>
      <c r="O12" s="4"/>
      <c r="P12" s="3">
        <f>SUM(P7:P11)</f>
        <v>240598</v>
      </c>
      <c r="Q12" s="4"/>
      <c r="R12" s="3">
        <f>SUM(R7:R11)</f>
        <v>207600</v>
      </c>
      <c r="T12" s="17"/>
      <c r="V12" s="3"/>
    </row>
    <row r="13" spans="1:20" ht="15.75">
      <c r="A13" s="10" t="s">
        <v>9</v>
      </c>
      <c r="B13" s="13"/>
      <c r="C13" s="32"/>
      <c r="D13" s="32"/>
      <c r="E13" s="32"/>
      <c r="G13" s="12"/>
      <c r="H13" s="31"/>
      <c r="I13" s="12"/>
      <c r="M13" s="4"/>
      <c r="N13" s="13"/>
      <c r="O13" s="4"/>
      <c r="Q13" s="4"/>
      <c r="T13" s="17"/>
    </row>
    <row r="14" spans="1:20" ht="16.5" thickBot="1">
      <c r="A14" s="4" t="s">
        <v>42</v>
      </c>
      <c r="B14" s="20">
        <f>CEILING(B9/1.37,1000)</f>
        <v>53000</v>
      </c>
      <c r="C14" s="30"/>
      <c r="D14" s="33">
        <v>53993</v>
      </c>
      <c r="E14" s="30"/>
      <c r="F14" s="20">
        <v>51000</v>
      </c>
      <c r="G14" s="4"/>
      <c r="H14" s="33">
        <v>49330.53</v>
      </c>
      <c r="I14" s="4"/>
      <c r="J14" s="20">
        <v>41000</v>
      </c>
      <c r="L14" s="15">
        <v>43882</v>
      </c>
      <c r="M14" s="4"/>
      <c r="N14" s="20">
        <v>38000</v>
      </c>
      <c r="O14" s="4"/>
      <c r="P14" s="15">
        <v>48500</v>
      </c>
      <c r="Q14" s="11"/>
      <c r="R14" s="15">
        <v>36800</v>
      </c>
      <c r="T14" s="17" t="s">
        <v>13</v>
      </c>
    </row>
    <row r="15" spans="1:20" ht="15.75">
      <c r="A15" s="4"/>
      <c r="B15" s="13">
        <f>SUM(B14:B14)</f>
        <v>53000</v>
      </c>
      <c r="C15" s="30"/>
      <c r="D15" s="37">
        <f>SUM(D14:D14)</f>
        <v>53993</v>
      </c>
      <c r="E15" s="30"/>
      <c r="F15" s="13">
        <f>SUM(F14:F14)</f>
        <v>51000</v>
      </c>
      <c r="G15" s="4"/>
      <c r="H15" s="37">
        <f>SUM(H14:H14)</f>
        <v>49330.53</v>
      </c>
      <c r="I15" s="4"/>
      <c r="J15" s="13">
        <f>SUM(J14:J14)</f>
        <v>41000</v>
      </c>
      <c r="L15" s="3">
        <f>SUM(L14:L14)</f>
        <v>43882</v>
      </c>
      <c r="M15" s="4"/>
      <c r="N15" s="13">
        <f>SUM(N14:N14)</f>
        <v>38000</v>
      </c>
      <c r="O15" s="4"/>
      <c r="P15" s="3">
        <f>SUM(P14:P14)</f>
        <v>48500</v>
      </c>
      <c r="Q15" s="4"/>
      <c r="R15" s="3">
        <f>SUM(R14:R14)</f>
        <v>36800</v>
      </c>
      <c r="T15" s="17"/>
    </row>
    <row r="16" spans="1:20" ht="15.75">
      <c r="A16" s="10" t="s">
        <v>19</v>
      </c>
      <c r="B16" s="13"/>
      <c r="C16" s="32"/>
      <c r="D16" s="32"/>
      <c r="E16" s="32"/>
      <c r="G16" s="10"/>
      <c r="H16" s="32"/>
      <c r="I16" s="10"/>
      <c r="M16" s="4"/>
      <c r="N16" s="13"/>
      <c r="O16" s="4"/>
      <c r="Q16" s="11"/>
      <c r="T16" s="17"/>
    </row>
    <row r="17" spans="1:20" ht="15.75">
      <c r="A17" s="4" t="s">
        <v>1</v>
      </c>
      <c r="B17" s="13">
        <v>100000</v>
      </c>
      <c r="C17" s="30"/>
      <c r="D17" s="13">
        <v>77809.57</v>
      </c>
      <c r="E17" s="30"/>
      <c r="F17" s="13">
        <v>78500</v>
      </c>
      <c r="G17" s="4"/>
      <c r="H17" s="30">
        <v>61137.24</v>
      </c>
      <c r="I17" s="4"/>
      <c r="J17" s="13">
        <v>72000</v>
      </c>
      <c r="L17" s="3">
        <v>79751</v>
      </c>
      <c r="M17" s="4"/>
      <c r="N17" s="13">
        <v>72000</v>
      </c>
      <c r="O17" s="4"/>
      <c r="P17" s="3">
        <v>73155</v>
      </c>
      <c r="Q17" s="11"/>
      <c r="R17" s="3">
        <v>70000</v>
      </c>
      <c r="T17" s="17" t="s">
        <v>13</v>
      </c>
    </row>
    <row r="18" spans="1:20" ht="15.75">
      <c r="A18" s="4" t="s">
        <v>20</v>
      </c>
      <c r="B18" s="13">
        <v>1000</v>
      </c>
      <c r="C18" s="30"/>
      <c r="D18" s="13">
        <v>900</v>
      </c>
      <c r="E18" s="30"/>
      <c r="F18" s="13">
        <v>2000</v>
      </c>
      <c r="G18" s="4"/>
      <c r="H18" s="30">
        <v>1115</v>
      </c>
      <c r="I18" s="4"/>
      <c r="J18" s="13">
        <v>2000</v>
      </c>
      <c r="L18" s="3">
        <f>1910+335-795</f>
        <v>1450</v>
      </c>
      <c r="M18" s="4"/>
      <c r="N18" s="13">
        <v>2000</v>
      </c>
      <c r="O18" s="4"/>
      <c r="P18" s="3">
        <v>2015</v>
      </c>
      <c r="Q18" s="11"/>
      <c r="R18" s="3">
        <v>2000</v>
      </c>
      <c r="T18" s="17"/>
    </row>
    <row r="19" spans="1:20" ht="16.5" thickBot="1">
      <c r="A19" s="4" t="s">
        <v>21</v>
      </c>
      <c r="B19" s="20">
        <v>25000</v>
      </c>
      <c r="C19" s="30"/>
      <c r="D19" s="20">
        <v>25588.65</v>
      </c>
      <c r="E19" s="30"/>
      <c r="F19" s="20">
        <v>23000</v>
      </c>
      <c r="G19" s="4"/>
      <c r="H19" s="33">
        <v>29330.72</v>
      </c>
      <c r="I19" s="4"/>
      <c r="J19" s="20">
        <v>15000</v>
      </c>
      <c r="K19" s="24"/>
      <c r="L19" s="15">
        <v>13384</v>
      </c>
      <c r="M19" s="4"/>
      <c r="N19" s="20">
        <v>12000</v>
      </c>
      <c r="O19" s="4"/>
      <c r="P19" s="15">
        <v>11515</v>
      </c>
      <c r="Q19" s="4"/>
      <c r="R19" s="15">
        <v>12500</v>
      </c>
      <c r="T19" s="17" t="s">
        <v>13</v>
      </c>
    </row>
    <row r="20" spans="1:20" ht="15.75">
      <c r="A20" s="4"/>
      <c r="B20" s="13">
        <f>SUM(B16:B19)</f>
        <v>126000</v>
      </c>
      <c r="C20" s="30"/>
      <c r="D20" s="13">
        <f>SUM(D16:D19)</f>
        <v>104298.22</v>
      </c>
      <c r="E20" s="30"/>
      <c r="F20" s="13">
        <f>SUM(F16:F19)</f>
        <v>103500</v>
      </c>
      <c r="G20" s="4"/>
      <c r="H20" s="37">
        <f>SUM(H16:H19)</f>
        <v>91582.95999999999</v>
      </c>
      <c r="I20" s="4"/>
      <c r="J20" s="13">
        <f>SUM(J16:J19)</f>
        <v>89000</v>
      </c>
      <c r="L20" s="3">
        <f>SUM(L16:L19)</f>
        <v>94585</v>
      </c>
      <c r="M20" s="4"/>
      <c r="N20" s="13">
        <f>SUM(N16:N19)</f>
        <v>86000</v>
      </c>
      <c r="O20" s="4"/>
      <c r="P20" s="3">
        <f>SUM(P16:P19)</f>
        <v>86685</v>
      </c>
      <c r="Q20" s="4"/>
      <c r="R20" s="3">
        <f>SUM(R16:R19)</f>
        <v>84500</v>
      </c>
      <c r="T20" s="17"/>
    </row>
    <row r="21" spans="1:20" ht="15.75">
      <c r="A21" s="10" t="s">
        <v>10</v>
      </c>
      <c r="B21" s="13"/>
      <c r="C21" s="32"/>
      <c r="D21" s="13"/>
      <c r="E21" s="32"/>
      <c r="G21" s="10"/>
      <c r="H21" s="32"/>
      <c r="I21" s="10"/>
      <c r="M21" s="4"/>
      <c r="N21" s="13"/>
      <c r="O21" s="4"/>
      <c r="Q21" s="4"/>
      <c r="T21" s="17"/>
    </row>
    <row r="22" spans="1:20" ht="15.75">
      <c r="A22" s="4" t="s">
        <v>22</v>
      </c>
      <c r="B22" s="13">
        <v>0</v>
      </c>
      <c r="C22" s="30"/>
      <c r="D22" s="13">
        <v>0</v>
      </c>
      <c r="E22" s="30"/>
      <c r="F22" s="13">
        <v>500</v>
      </c>
      <c r="G22" s="4"/>
      <c r="H22" s="30">
        <v>328.75</v>
      </c>
      <c r="I22" s="4"/>
      <c r="J22" s="13">
        <v>500</v>
      </c>
      <c r="L22" s="3">
        <v>213</v>
      </c>
      <c r="M22" s="4"/>
      <c r="N22" s="13">
        <v>1500</v>
      </c>
      <c r="O22" s="4"/>
      <c r="P22" s="3">
        <v>0</v>
      </c>
      <c r="Q22" s="4"/>
      <c r="R22" s="3">
        <v>3000</v>
      </c>
      <c r="T22" s="17" t="s">
        <v>13</v>
      </c>
    </row>
    <row r="23" spans="1:20" ht="15.75">
      <c r="A23" s="4" t="s">
        <v>23</v>
      </c>
      <c r="B23" s="13">
        <v>3630</v>
      </c>
      <c r="C23" s="30"/>
      <c r="D23" s="13">
        <v>3630</v>
      </c>
      <c r="E23" s="30"/>
      <c r="F23" s="13">
        <v>7500</v>
      </c>
      <c r="G23" s="4"/>
      <c r="H23" s="30">
        <v>3630</v>
      </c>
      <c r="I23" s="4"/>
      <c r="J23" s="13">
        <v>3630</v>
      </c>
      <c r="L23" s="3">
        <v>3630</v>
      </c>
      <c r="M23" s="4"/>
      <c r="N23" s="13">
        <v>3630</v>
      </c>
      <c r="O23" s="4"/>
      <c r="P23" s="3">
        <v>3630</v>
      </c>
      <c r="Q23" s="4"/>
      <c r="R23" s="3">
        <v>3630</v>
      </c>
      <c r="T23" s="17"/>
    </row>
    <row r="24" spans="1:20" ht="15.75">
      <c r="A24" s="4" t="s">
        <v>24</v>
      </c>
      <c r="B24" s="13">
        <v>6000</v>
      </c>
      <c r="C24" s="30"/>
      <c r="D24" s="13">
        <v>6804.39</v>
      </c>
      <c r="E24" s="30"/>
      <c r="F24" s="13">
        <v>6500</v>
      </c>
      <c r="G24" s="4"/>
      <c r="H24" s="30">
        <v>10511</v>
      </c>
      <c r="I24" s="4"/>
      <c r="J24" s="13">
        <v>4500</v>
      </c>
      <c r="L24" s="3">
        <v>5661</v>
      </c>
      <c r="M24" s="4"/>
      <c r="N24" s="13">
        <v>4000</v>
      </c>
      <c r="O24" s="4"/>
      <c r="P24" s="3">
        <v>3796</v>
      </c>
      <c r="Q24" s="4"/>
      <c r="R24" s="3">
        <v>4000</v>
      </c>
      <c r="T24" s="17"/>
    </row>
    <row r="25" spans="1:20" ht="15.75">
      <c r="A25" s="4" t="s">
        <v>0</v>
      </c>
      <c r="B25" s="13">
        <v>4000</v>
      </c>
      <c r="C25" s="30"/>
      <c r="D25" s="13">
        <v>4872.64</v>
      </c>
      <c r="E25" s="30"/>
      <c r="F25" s="13">
        <v>4000</v>
      </c>
      <c r="G25" s="4"/>
      <c r="H25" s="30">
        <v>3925.13</v>
      </c>
      <c r="I25" s="4"/>
      <c r="J25" s="13">
        <v>3000</v>
      </c>
      <c r="L25" s="3">
        <v>2760</v>
      </c>
      <c r="M25" s="4"/>
      <c r="N25" s="13">
        <v>4250</v>
      </c>
      <c r="O25" s="4"/>
      <c r="P25" s="3">
        <v>5231</v>
      </c>
      <c r="Q25" s="4"/>
      <c r="R25" s="3">
        <v>4250</v>
      </c>
      <c r="T25" s="17"/>
    </row>
    <row r="26" spans="1:20" ht="15.75">
      <c r="A26" s="4" t="s">
        <v>11</v>
      </c>
      <c r="B26" s="13">
        <v>6370</v>
      </c>
      <c r="C26" s="30"/>
      <c r="D26" s="13">
        <v>6492.12</v>
      </c>
      <c r="E26" s="30"/>
      <c r="F26" s="13">
        <v>6500</v>
      </c>
      <c r="G26" s="4"/>
      <c r="H26" s="30">
        <v>6493.15</v>
      </c>
      <c r="I26" s="4"/>
      <c r="J26" s="13">
        <v>4000</v>
      </c>
      <c r="L26" s="3">
        <v>4556</v>
      </c>
      <c r="M26" s="4"/>
      <c r="N26" s="13">
        <v>3000</v>
      </c>
      <c r="O26" s="4"/>
      <c r="P26" s="3">
        <v>2850</v>
      </c>
      <c r="Q26" s="4"/>
      <c r="R26" s="3">
        <v>1650</v>
      </c>
      <c r="T26" s="17"/>
    </row>
    <row r="27" spans="1:23" ht="15.75">
      <c r="A27" s="4" t="s">
        <v>25</v>
      </c>
      <c r="B27" s="13">
        <f>7500+1000</f>
        <v>8500</v>
      </c>
      <c r="C27" s="30"/>
      <c r="D27" s="13">
        <v>10630.65</v>
      </c>
      <c r="E27" s="30"/>
      <c r="F27" s="13">
        <v>7500</v>
      </c>
      <c r="G27" s="4"/>
      <c r="H27" s="30">
        <v>6276.66</v>
      </c>
      <c r="I27" s="4"/>
      <c r="J27" s="13">
        <v>14000</v>
      </c>
      <c r="L27" s="3">
        <v>11297</v>
      </c>
      <c r="M27" s="4"/>
      <c r="N27" s="13">
        <v>17500</v>
      </c>
      <c r="O27" s="4"/>
      <c r="P27" s="3">
        <v>17657</v>
      </c>
      <c r="Q27" s="4"/>
      <c r="R27" s="3">
        <v>13000</v>
      </c>
      <c r="T27" s="18" t="s">
        <v>13</v>
      </c>
      <c r="W27" s="1" t="s">
        <v>13</v>
      </c>
    </row>
    <row r="28" spans="1:20" ht="15.75">
      <c r="A28" s="4" t="s">
        <v>26</v>
      </c>
      <c r="B28" s="13">
        <f>1500+1000</f>
        <v>2500</v>
      </c>
      <c r="C28" s="30"/>
      <c r="D28" s="13">
        <v>4241.24</v>
      </c>
      <c r="E28" s="30"/>
      <c r="F28" s="13">
        <v>1500</v>
      </c>
      <c r="G28" s="4"/>
      <c r="H28" s="30">
        <v>1310.03</v>
      </c>
      <c r="I28" s="4"/>
      <c r="J28" s="13">
        <v>1750</v>
      </c>
      <c r="L28" s="3">
        <v>1766</v>
      </c>
      <c r="M28" s="4"/>
      <c r="N28" s="13">
        <v>1250</v>
      </c>
      <c r="O28" s="4"/>
      <c r="P28" s="3">
        <v>1352</v>
      </c>
      <c r="Q28" s="4"/>
      <c r="R28" s="3">
        <v>1750</v>
      </c>
      <c r="T28" s="18"/>
    </row>
    <row r="29" spans="1:20" ht="16.5" thickBot="1">
      <c r="A29" s="4" t="s">
        <v>2</v>
      </c>
      <c r="B29" s="20">
        <v>6250</v>
      </c>
      <c r="C29" s="30"/>
      <c r="D29" s="20">
        <v>7224.45</v>
      </c>
      <c r="E29" s="30"/>
      <c r="F29" s="20">
        <v>6000</v>
      </c>
      <c r="G29" s="4"/>
      <c r="H29" s="33">
        <v>5673.2</v>
      </c>
      <c r="I29" s="4"/>
      <c r="J29" s="20">
        <v>8500</v>
      </c>
      <c r="K29" s="24"/>
      <c r="L29" s="15">
        <v>8846</v>
      </c>
      <c r="M29" s="4"/>
      <c r="N29" s="20">
        <v>5000</v>
      </c>
      <c r="O29" s="4"/>
      <c r="P29" s="15">
        <v>8445</v>
      </c>
      <c r="Q29" s="4"/>
      <c r="R29" s="15">
        <v>5000</v>
      </c>
      <c r="T29" s="17"/>
    </row>
    <row r="30" spans="1:20" ht="15.75" customHeight="1">
      <c r="A30" s="4"/>
      <c r="B30" s="13">
        <f>SUM(B21:B29)</f>
        <v>37250</v>
      </c>
      <c r="C30" s="30"/>
      <c r="D30" s="13">
        <f>SUM(D21:D29)</f>
        <v>43895.48999999999</v>
      </c>
      <c r="E30" s="30"/>
      <c r="F30" s="13">
        <f>SUM(F21:F29)</f>
        <v>40000</v>
      </c>
      <c r="G30" s="4"/>
      <c r="H30" s="37">
        <f>SUM(H21:H29)</f>
        <v>38147.92</v>
      </c>
      <c r="I30" s="4"/>
      <c r="J30" s="13">
        <f>SUM(J21:J29)</f>
        <v>39880</v>
      </c>
      <c r="L30" s="3">
        <f>SUM(L21:L29)</f>
        <v>38729</v>
      </c>
      <c r="M30" s="4"/>
      <c r="N30" s="13">
        <f>SUM(N21:N29)</f>
        <v>40130</v>
      </c>
      <c r="O30" s="4"/>
      <c r="P30" s="3">
        <f>SUM(P21:P29)</f>
        <v>42961</v>
      </c>
      <c r="Q30" s="4"/>
      <c r="R30" s="3">
        <f>SUM(R21:R29)</f>
        <v>36280</v>
      </c>
      <c r="T30" s="17"/>
    </row>
    <row r="31" spans="1:20" ht="15.75">
      <c r="A31" s="10" t="s">
        <v>27</v>
      </c>
      <c r="B31" s="13"/>
      <c r="C31" s="32"/>
      <c r="D31" s="32"/>
      <c r="E31" s="32"/>
      <c r="G31" s="10"/>
      <c r="H31" s="32"/>
      <c r="I31" s="10"/>
      <c r="M31" s="4"/>
      <c r="N31" s="13"/>
      <c r="O31" s="4"/>
      <c r="Q31" s="4"/>
      <c r="T31" s="17"/>
    </row>
    <row r="32" spans="1:20" ht="16.5" thickBot="1">
      <c r="A32" s="4" t="s">
        <v>50</v>
      </c>
      <c r="B32" s="24">
        <v>40000</v>
      </c>
      <c r="C32" s="41"/>
      <c r="D32" s="24">
        <v>43697</v>
      </c>
      <c r="E32" s="41"/>
      <c r="F32" s="24">
        <v>40000</v>
      </c>
      <c r="G32" s="43"/>
      <c r="H32" s="41">
        <v>38701.54</v>
      </c>
      <c r="I32" s="43"/>
      <c r="J32" s="24">
        <v>30000</v>
      </c>
      <c r="K32" s="24"/>
      <c r="L32" s="15">
        <f>5922.56+24166.73+440.74</f>
        <v>30530.030000000002</v>
      </c>
      <c r="M32" s="4"/>
      <c r="N32" s="20">
        <v>23500</v>
      </c>
      <c r="O32" s="4"/>
      <c r="P32" s="15">
        <v>17436</v>
      </c>
      <c r="Q32" s="4"/>
      <c r="R32" s="15">
        <v>17000</v>
      </c>
      <c r="T32" s="17"/>
    </row>
    <row r="33" spans="1:20" ht="16.5" thickBot="1">
      <c r="A33" s="4" t="s">
        <v>53</v>
      </c>
      <c r="B33" s="20">
        <v>3630</v>
      </c>
      <c r="C33" s="30"/>
      <c r="D33" s="20">
        <v>0</v>
      </c>
      <c r="E33" s="30"/>
      <c r="F33" s="20">
        <v>0</v>
      </c>
      <c r="G33" s="4"/>
      <c r="H33" s="33">
        <v>0</v>
      </c>
      <c r="I33" s="4"/>
      <c r="J33" s="20">
        <v>0</v>
      </c>
      <c r="K33" s="24"/>
      <c r="L33" s="42"/>
      <c r="M33" s="4"/>
      <c r="N33" s="24"/>
      <c r="O33" s="4"/>
      <c r="P33" s="42"/>
      <c r="Q33" s="4"/>
      <c r="R33" s="42"/>
      <c r="T33" s="17"/>
    </row>
    <row r="34" spans="1:20" ht="15.75">
      <c r="A34" s="4"/>
      <c r="B34" s="13">
        <f>SUM(B32:B33)</f>
        <v>43630</v>
      </c>
      <c r="C34" s="30"/>
      <c r="D34" s="13">
        <f>SUM(D32:D33)</f>
        <v>43697</v>
      </c>
      <c r="E34" s="30"/>
      <c r="F34" s="13">
        <f>SUM(F32:F33)</f>
        <v>40000</v>
      </c>
      <c r="G34" s="4"/>
      <c r="H34" s="13">
        <f>SUM(H32:H33)</f>
        <v>38701.54</v>
      </c>
      <c r="I34" s="4"/>
      <c r="J34" s="13">
        <f>SUM(J32:J33)</f>
        <v>30000</v>
      </c>
      <c r="L34" s="3">
        <f>SUM(L31:L32)</f>
        <v>30530.030000000002</v>
      </c>
      <c r="M34" s="4"/>
      <c r="N34" s="13">
        <f>SUM(N31:N32)</f>
        <v>23500</v>
      </c>
      <c r="O34" s="4"/>
      <c r="P34" s="3">
        <f>SUM(P31:P32)</f>
        <v>17436</v>
      </c>
      <c r="Q34" s="4"/>
      <c r="R34" s="3">
        <f>SUM(R31:R32)</f>
        <v>17000</v>
      </c>
      <c r="T34" s="17"/>
    </row>
    <row r="35" spans="1:20" ht="15.75">
      <c r="A35" s="10" t="s">
        <v>28</v>
      </c>
      <c r="B35" s="13"/>
      <c r="C35" s="32"/>
      <c r="D35" s="13"/>
      <c r="E35" s="32"/>
      <c r="G35" s="10"/>
      <c r="H35" s="32"/>
      <c r="I35" s="10"/>
      <c r="M35" s="4"/>
      <c r="N35" s="13"/>
      <c r="O35" s="4"/>
      <c r="Q35" s="4"/>
      <c r="T35" s="17"/>
    </row>
    <row r="36" spans="1:20" ht="15.75">
      <c r="A36" s="4" t="s">
        <v>29</v>
      </c>
      <c r="B36" s="13">
        <v>25000</v>
      </c>
      <c r="C36" s="30"/>
      <c r="D36" s="13">
        <v>24032.3</v>
      </c>
      <c r="E36" s="30"/>
      <c r="F36" s="13">
        <v>25000</v>
      </c>
      <c r="G36" s="4"/>
      <c r="H36" s="30">
        <v>24148.63</v>
      </c>
      <c r="I36" s="4"/>
      <c r="J36" s="13">
        <v>22500</v>
      </c>
      <c r="L36" s="3">
        <v>20061</v>
      </c>
      <c r="M36" s="4"/>
      <c r="N36" s="13">
        <v>20000</v>
      </c>
      <c r="O36" s="4"/>
      <c r="P36" s="3">
        <v>18364</v>
      </c>
      <c r="Q36" s="4"/>
      <c r="R36" s="3">
        <v>16250</v>
      </c>
      <c r="T36" s="17"/>
    </row>
    <row r="37" spans="1:20" ht="15.75">
      <c r="A37" s="4" t="s">
        <v>30</v>
      </c>
      <c r="B37" s="13">
        <v>250</v>
      </c>
      <c r="C37" s="30"/>
      <c r="D37" s="13">
        <v>147.5</v>
      </c>
      <c r="E37" s="30"/>
      <c r="F37" s="13">
        <v>280</v>
      </c>
      <c r="G37" s="4"/>
      <c r="H37" s="30">
        <v>182.5</v>
      </c>
      <c r="I37" s="4"/>
      <c r="J37" s="13">
        <v>500</v>
      </c>
      <c r="L37" s="3">
        <v>603</v>
      </c>
      <c r="M37" s="4"/>
      <c r="N37" s="13">
        <v>500</v>
      </c>
      <c r="O37" s="4"/>
      <c r="P37" s="3">
        <v>308</v>
      </c>
      <c r="Q37" s="4"/>
      <c r="R37" s="3">
        <v>150</v>
      </c>
      <c r="T37" s="17"/>
    </row>
    <row r="38" spans="1:20" ht="16.5" thickBot="1">
      <c r="A38" s="4" t="s">
        <v>31</v>
      </c>
      <c r="B38" s="20">
        <v>750</v>
      </c>
      <c r="C38" s="30"/>
      <c r="D38" s="20">
        <v>851.88</v>
      </c>
      <c r="E38" s="30"/>
      <c r="F38" s="20">
        <v>1000</v>
      </c>
      <c r="G38" s="4"/>
      <c r="H38" s="33">
        <v>1111.04</v>
      </c>
      <c r="I38" s="4"/>
      <c r="J38" s="20">
        <v>2000</v>
      </c>
      <c r="K38" s="24"/>
      <c r="L38" s="15">
        <v>2157</v>
      </c>
      <c r="M38" s="4"/>
      <c r="N38" s="20">
        <v>0</v>
      </c>
      <c r="O38" s="4"/>
      <c r="P38" s="15">
        <v>2096</v>
      </c>
      <c r="Q38" s="4"/>
      <c r="R38" s="15">
        <v>1250</v>
      </c>
      <c r="T38" s="17"/>
    </row>
    <row r="39" spans="1:22" ht="15.75">
      <c r="A39" s="4"/>
      <c r="B39" s="13">
        <f>SUM(B35:B38)</f>
        <v>26000</v>
      </c>
      <c r="C39" s="30"/>
      <c r="D39" s="13">
        <f>SUM(D35:D38)</f>
        <v>25031.68</v>
      </c>
      <c r="E39" s="30"/>
      <c r="F39" s="13">
        <f>SUM(F35:F38)</f>
        <v>26280</v>
      </c>
      <c r="G39" s="4"/>
      <c r="H39" s="37">
        <f>SUM(H35:H38)</f>
        <v>25442.170000000002</v>
      </c>
      <c r="I39" s="4"/>
      <c r="J39" s="13">
        <f>SUM(J35:J38)</f>
        <v>25000</v>
      </c>
      <c r="L39" s="3">
        <f>SUM(L35:L38)</f>
        <v>22821</v>
      </c>
      <c r="M39" s="4"/>
      <c r="N39" s="13">
        <f>SUM(N35:N38)</f>
        <v>20500</v>
      </c>
      <c r="O39" s="4"/>
      <c r="P39" s="3">
        <f>SUM(P35:P38)</f>
        <v>20768</v>
      </c>
      <c r="Q39" s="4"/>
      <c r="R39" s="3">
        <f>SUM(R35:R38)</f>
        <v>17650</v>
      </c>
      <c r="T39" s="18" t="s">
        <v>13</v>
      </c>
      <c r="V39" s="1" t="s">
        <v>13</v>
      </c>
    </row>
    <row r="40" spans="1:20" ht="15.75">
      <c r="A40" s="10" t="s">
        <v>32</v>
      </c>
      <c r="B40" s="13"/>
      <c r="C40" s="32"/>
      <c r="D40" s="32"/>
      <c r="E40" s="32"/>
      <c r="G40" s="10"/>
      <c r="H40" s="32"/>
      <c r="I40" s="10"/>
      <c r="M40" s="4"/>
      <c r="N40" s="13"/>
      <c r="O40" s="4"/>
      <c r="Q40" s="4"/>
      <c r="T40" s="17"/>
    </row>
    <row r="41" spans="1:20" ht="15.75">
      <c r="A41" s="4" t="s">
        <v>33</v>
      </c>
      <c r="B41" s="13">
        <v>250</v>
      </c>
      <c r="C41" s="30"/>
      <c r="D41" s="13">
        <f>302.5+189.79</f>
        <v>492.28999999999996</v>
      </c>
      <c r="E41" s="30"/>
      <c r="F41" s="13">
        <v>250</v>
      </c>
      <c r="G41" s="4"/>
      <c r="H41" s="30">
        <v>242.68</v>
      </c>
      <c r="I41" s="4"/>
      <c r="J41" s="13">
        <v>245</v>
      </c>
      <c r="L41" s="3">
        <v>277</v>
      </c>
      <c r="M41" s="4"/>
      <c r="N41" s="13">
        <v>225</v>
      </c>
      <c r="O41" s="4"/>
      <c r="P41" s="3">
        <v>224</v>
      </c>
      <c r="Q41" s="4"/>
      <c r="R41" s="3">
        <v>200</v>
      </c>
      <c r="T41" s="17"/>
    </row>
    <row r="42" spans="1:20" ht="15.75">
      <c r="A42" s="4" t="s">
        <v>48</v>
      </c>
      <c r="B42" s="13">
        <v>3000</v>
      </c>
      <c r="C42" s="30"/>
      <c r="D42" s="13">
        <v>2739.75</v>
      </c>
      <c r="E42" s="30"/>
      <c r="F42" s="13">
        <v>3100</v>
      </c>
      <c r="G42" s="4"/>
      <c r="H42" s="30">
        <f>583.83+2775.13</f>
        <v>3358.96</v>
      </c>
      <c r="I42" s="4"/>
      <c r="J42" s="13">
        <v>3500</v>
      </c>
      <c r="L42" s="3">
        <f>932+332.75+2453.56</f>
        <v>3718.31</v>
      </c>
      <c r="M42" s="4"/>
      <c r="N42" s="13">
        <v>2500</v>
      </c>
      <c r="O42" s="4"/>
      <c r="P42" s="3">
        <v>1025</v>
      </c>
      <c r="Q42" s="4"/>
      <c r="R42" s="3">
        <v>500</v>
      </c>
      <c r="T42" s="17"/>
    </row>
    <row r="43" spans="1:20" ht="16.5" thickBot="1">
      <c r="A43" s="4" t="s">
        <v>49</v>
      </c>
      <c r="B43" s="20">
        <v>250</v>
      </c>
      <c r="C43" s="30"/>
      <c r="D43" s="20">
        <v>1019.31</v>
      </c>
      <c r="E43" s="30"/>
      <c r="F43" s="20">
        <v>0</v>
      </c>
      <c r="G43" s="4"/>
      <c r="H43" s="33">
        <f>-1640.3+286.73</f>
        <v>-1353.57</v>
      </c>
      <c r="I43" s="4"/>
      <c r="J43" s="20">
        <v>0</v>
      </c>
      <c r="K43" s="24"/>
      <c r="L43" s="15">
        <v>1499</v>
      </c>
      <c r="M43" s="4"/>
      <c r="N43" s="20">
        <v>0</v>
      </c>
      <c r="O43" s="4"/>
      <c r="P43" s="15">
        <v>-3690</v>
      </c>
      <c r="Q43" s="4"/>
      <c r="R43" s="15">
        <v>1250</v>
      </c>
      <c r="T43" s="17"/>
    </row>
    <row r="44" spans="1:22" ht="15.75">
      <c r="A44" s="4"/>
      <c r="B44" s="13">
        <f>SUM(B40:B43)</f>
        <v>3500</v>
      </c>
      <c r="C44" s="30"/>
      <c r="D44" s="13">
        <f>SUM(D40:D43)</f>
        <v>4251.35</v>
      </c>
      <c r="E44" s="30"/>
      <c r="F44" s="13">
        <f>SUM(F40:F43)</f>
        <v>3350</v>
      </c>
      <c r="G44" s="4"/>
      <c r="H44" s="37">
        <f>SUM(H40:H43)</f>
        <v>2248.0699999999997</v>
      </c>
      <c r="I44" s="4"/>
      <c r="J44" s="13">
        <f>SUM(J40:J43)</f>
        <v>3745</v>
      </c>
      <c r="L44" s="3">
        <f>SUM(L40:L43)</f>
        <v>5494.3099999999995</v>
      </c>
      <c r="M44" s="4"/>
      <c r="N44" s="13">
        <f>SUM(N40:N43)</f>
        <v>2725</v>
      </c>
      <c r="O44" s="4"/>
      <c r="P44" s="3">
        <f>SUM(P40:P43)</f>
        <v>-2441</v>
      </c>
      <c r="Q44" s="4"/>
      <c r="R44" s="3">
        <f>SUM(R40:R43)</f>
        <v>1950</v>
      </c>
      <c r="T44" s="18" t="s">
        <v>13</v>
      </c>
      <c r="V44" s="1" t="s">
        <v>13</v>
      </c>
    </row>
    <row r="45" spans="1:20" ht="15.75">
      <c r="A45" s="10" t="s">
        <v>34</v>
      </c>
      <c r="B45" s="13"/>
      <c r="C45" s="32"/>
      <c r="D45" s="13"/>
      <c r="E45" s="32"/>
      <c r="G45" s="10"/>
      <c r="H45" s="32"/>
      <c r="I45" s="10"/>
      <c r="M45" s="4"/>
      <c r="N45" s="13"/>
      <c r="O45" s="4"/>
      <c r="Q45" s="4"/>
      <c r="T45" s="17"/>
    </row>
    <row r="46" spans="1:20" ht="15.75">
      <c r="A46" s="4" t="s">
        <v>35</v>
      </c>
      <c r="B46" s="13">
        <v>10000</v>
      </c>
      <c r="C46" s="30"/>
      <c r="D46" s="13">
        <v>11756.36</v>
      </c>
      <c r="E46" s="30"/>
      <c r="F46" s="13">
        <v>15000</v>
      </c>
      <c r="G46" s="4"/>
      <c r="H46" s="30">
        <v>15631.63</v>
      </c>
      <c r="I46" s="4"/>
      <c r="J46" s="13">
        <v>15000</v>
      </c>
      <c r="L46" s="3">
        <v>13629</v>
      </c>
      <c r="M46" s="4"/>
      <c r="N46" s="13">
        <v>12000</v>
      </c>
      <c r="O46" s="4"/>
      <c r="P46" s="3">
        <v>11047</v>
      </c>
      <c r="Q46" s="4"/>
      <c r="R46" s="3">
        <v>7500</v>
      </c>
      <c r="T46" s="17"/>
    </row>
    <row r="47" spans="1:20" ht="15.75">
      <c r="A47" s="4" t="s">
        <v>47</v>
      </c>
      <c r="B47" s="13">
        <v>1250</v>
      </c>
      <c r="C47" s="30"/>
      <c r="D47" s="13">
        <v>3427.5</v>
      </c>
      <c r="E47" s="30"/>
      <c r="F47" s="13">
        <v>3000</v>
      </c>
      <c r="G47" s="4"/>
      <c r="H47" s="30">
        <v>1725</v>
      </c>
      <c r="I47" s="4"/>
      <c r="J47" s="13">
        <v>0</v>
      </c>
      <c r="L47" s="3">
        <v>0</v>
      </c>
      <c r="M47" s="4"/>
      <c r="N47" s="13">
        <v>0</v>
      </c>
      <c r="O47" s="4"/>
      <c r="P47" s="3">
        <v>0</v>
      </c>
      <c r="Q47" s="4"/>
      <c r="R47" s="3">
        <v>0</v>
      </c>
      <c r="T47" s="17"/>
    </row>
    <row r="48" spans="1:20" ht="15.75">
      <c r="A48" s="4" t="s">
        <v>36</v>
      </c>
      <c r="B48" s="13">
        <v>750</v>
      </c>
      <c r="C48" s="30"/>
      <c r="D48" s="13">
        <v>716.04</v>
      </c>
      <c r="E48" s="30"/>
      <c r="F48" s="13">
        <v>1000</v>
      </c>
      <c r="G48" s="4"/>
      <c r="H48" s="30">
        <v>973.18</v>
      </c>
      <c r="I48" s="4"/>
      <c r="J48" s="13">
        <v>1000</v>
      </c>
      <c r="L48" s="3">
        <v>507</v>
      </c>
      <c r="M48" s="4"/>
      <c r="N48" s="13">
        <v>1000</v>
      </c>
      <c r="O48" s="4"/>
      <c r="P48" s="3">
        <v>1165</v>
      </c>
      <c r="Q48" s="4"/>
      <c r="R48" s="3">
        <v>500</v>
      </c>
      <c r="T48" s="17"/>
    </row>
    <row r="49" spans="1:20" ht="16.5" thickBot="1">
      <c r="A49" s="4" t="s">
        <v>37</v>
      </c>
      <c r="B49" s="20">
        <v>250</v>
      </c>
      <c r="C49" s="30"/>
      <c r="D49" s="20">
        <v>-158.56</v>
      </c>
      <c r="E49" s="30"/>
      <c r="F49" s="20">
        <v>1000</v>
      </c>
      <c r="G49" s="4"/>
      <c r="H49" s="33">
        <v>673.45</v>
      </c>
      <c r="I49" s="4"/>
      <c r="J49" s="20">
        <v>2000</v>
      </c>
      <c r="K49" s="24"/>
      <c r="L49" s="15">
        <f>287.67+203.8+45.62+173.65+795</f>
        <v>1505.74</v>
      </c>
      <c r="M49" s="4"/>
      <c r="N49" s="20">
        <v>250</v>
      </c>
      <c r="O49" s="4"/>
      <c r="P49" s="15">
        <f>245+208</f>
        <v>453</v>
      </c>
      <c r="Q49" s="4"/>
      <c r="R49" s="15">
        <v>450</v>
      </c>
      <c r="T49" s="17"/>
    </row>
    <row r="50" spans="1:22" ht="15.75">
      <c r="A50" s="4"/>
      <c r="B50" s="13">
        <f>SUM(B45:B49)</f>
        <v>12250</v>
      </c>
      <c r="C50" s="30"/>
      <c r="D50" s="13">
        <f>SUM(D45:D49)</f>
        <v>15741.340000000002</v>
      </c>
      <c r="E50" s="30"/>
      <c r="F50" s="13">
        <f>SUM(F45:F49)</f>
        <v>20000</v>
      </c>
      <c r="G50" s="4"/>
      <c r="H50" s="13">
        <f>SUM(H45:H49)</f>
        <v>19003.26</v>
      </c>
      <c r="I50" s="4"/>
      <c r="J50" s="13">
        <f>SUM(J45:J49)</f>
        <v>18000</v>
      </c>
      <c r="L50" s="3">
        <f>SUM(L45:L49)</f>
        <v>15641.74</v>
      </c>
      <c r="M50" s="4"/>
      <c r="N50" s="13">
        <f>SUM(N45:N49)</f>
        <v>13250</v>
      </c>
      <c r="O50" s="4"/>
      <c r="P50" s="3">
        <f>SUM(P45:P49)</f>
        <v>12665</v>
      </c>
      <c r="Q50" s="4"/>
      <c r="R50" s="3">
        <f>SUM(R45:R49)</f>
        <v>8450</v>
      </c>
      <c r="T50" s="18" t="s">
        <v>13</v>
      </c>
      <c r="V50" s="1" t="s">
        <v>13</v>
      </c>
    </row>
    <row r="51" spans="1:20" ht="15.75">
      <c r="A51" s="10" t="s">
        <v>38</v>
      </c>
      <c r="B51" s="13"/>
      <c r="C51" s="32"/>
      <c r="D51" s="13"/>
      <c r="E51" s="32"/>
      <c r="G51" s="10"/>
      <c r="H51" s="32"/>
      <c r="I51" s="10"/>
      <c r="M51" s="4"/>
      <c r="N51" s="13"/>
      <c r="O51" s="4"/>
      <c r="Q51" s="4"/>
      <c r="T51" s="17"/>
    </row>
    <row r="52" spans="1:20" ht="15.75">
      <c r="A52" s="4" t="s">
        <v>39</v>
      </c>
      <c r="B52" s="13">
        <v>5000</v>
      </c>
      <c r="C52" s="30"/>
      <c r="D52" s="13">
        <v>4859.16</v>
      </c>
      <c r="E52" s="30"/>
      <c r="F52" s="13">
        <v>5250</v>
      </c>
      <c r="G52" s="4"/>
      <c r="H52" s="30">
        <v>4933.26</v>
      </c>
      <c r="I52" s="4"/>
      <c r="J52" s="13">
        <v>5000</v>
      </c>
      <c r="L52" s="3">
        <v>4770</v>
      </c>
      <c r="M52" s="4"/>
      <c r="N52" s="13">
        <v>3000</v>
      </c>
      <c r="O52" s="4"/>
      <c r="P52" s="3">
        <v>6927</v>
      </c>
      <c r="Q52" s="4"/>
      <c r="R52" s="3">
        <v>2850</v>
      </c>
      <c r="T52" s="17"/>
    </row>
    <row r="53" spans="1:20" ht="15.75">
      <c r="A53" s="4" t="s">
        <v>3</v>
      </c>
      <c r="B53" s="13">
        <v>2500</v>
      </c>
      <c r="C53" s="30"/>
      <c r="D53" s="13">
        <v>2511.59</v>
      </c>
      <c r="E53" s="30"/>
      <c r="F53" s="13">
        <v>2500</v>
      </c>
      <c r="G53" s="4"/>
      <c r="H53" s="30">
        <v>2206.46</v>
      </c>
      <c r="I53" s="4"/>
      <c r="J53" s="13">
        <v>2000</v>
      </c>
      <c r="L53" s="3">
        <v>1937.58</v>
      </c>
      <c r="M53" s="4"/>
      <c r="N53" s="13">
        <v>1250</v>
      </c>
      <c r="O53" s="4"/>
      <c r="P53" s="3">
        <v>1384</v>
      </c>
      <c r="Q53" s="4"/>
      <c r="R53" s="3">
        <v>900</v>
      </c>
      <c r="T53" s="17"/>
    </row>
    <row r="54" spans="1:20" ht="15.75">
      <c r="A54" s="4" t="s">
        <v>43</v>
      </c>
      <c r="B54" s="13">
        <v>-800</v>
      </c>
      <c r="C54" s="30"/>
      <c r="D54" s="13">
        <f>-22.67-986.84</f>
        <v>-1009.51</v>
      </c>
      <c r="E54" s="30"/>
      <c r="F54" s="13">
        <v>-980</v>
      </c>
      <c r="G54" s="4"/>
      <c r="H54" s="30">
        <v>-1160.72</v>
      </c>
      <c r="I54" s="4"/>
      <c r="J54" s="13">
        <v>-1325</v>
      </c>
      <c r="L54" s="3">
        <v>-1328</v>
      </c>
      <c r="M54" s="4"/>
      <c r="N54" s="13">
        <v>-1325</v>
      </c>
      <c r="O54" s="4"/>
      <c r="P54" s="3">
        <v>-1488</v>
      </c>
      <c r="Q54" s="4"/>
      <c r="R54" s="3">
        <v>0</v>
      </c>
      <c r="T54" s="17"/>
    </row>
    <row r="55" spans="1:20" ht="16.5" thickBot="1">
      <c r="A55" s="4" t="s">
        <v>20</v>
      </c>
      <c r="B55" s="20">
        <v>270</v>
      </c>
      <c r="C55" s="30"/>
      <c r="D55" s="20">
        <v>223.85</v>
      </c>
      <c r="E55" s="30"/>
      <c r="F55" s="20">
        <v>100</v>
      </c>
      <c r="G55" s="4"/>
      <c r="H55" s="33">
        <v>211.75</v>
      </c>
      <c r="I55" s="4"/>
      <c r="J55" s="20">
        <v>200</v>
      </c>
      <c r="K55" s="24"/>
      <c r="L55" s="15">
        <f>206-2131.9</f>
        <v>-1925.9</v>
      </c>
      <c r="M55" s="4"/>
      <c r="N55" s="20">
        <v>200</v>
      </c>
      <c r="O55" s="4"/>
      <c r="P55" s="15">
        <v>1355</v>
      </c>
      <c r="Q55" s="4"/>
      <c r="R55" s="15">
        <v>100</v>
      </c>
      <c r="T55" s="17"/>
    </row>
    <row r="56" spans="1:22" ht="15.75">
      <c r="A56" s="4"/>
      <c r="B56" s="13">
        <f>SUM(B51:B55)</f>
        <v>6970</v>
      </c>
      <c r="C56" s="30"/>
      <c r="D56" s="13">
        <f>SUM(D51:D55)</f>
        <v>6585.09</v>
      </c>
      <c r="E56" s="30"/>
      <c r="F56" s="13">
        <f>SUM(F51:F55)</f>
        <v>6870</v>
      </c>
      <c r="G56" s="4"/>
      <c r="H56" s="13">
        <f>SUM(H51:H55)</f>
        <v>6190.75</v>
      </c>
      <c r="I56" s="4"/>
      <c r="J56" s="13">
        <f>SUM(J51:J55)</f>
        <v>5875</v>
      </c>
      <c r="L56" s="3">
        <f>SUM(L51:L55)</f>
        <v>3453.68</v>
      </c>
      <c r="M56" s="4"/>
      <c r="N56" s="13">
        <f>SUM(N51:N55)</f>
        <v>3125</v>
      </c>
      <c r="O56" s="4"/>
      <c r="P56" s="3">
        <f>SUM(P51:P55)</f>
        <v>8178</v>
      </c>
      <c r="Q56" s="4"/>
      <c r="R56" s="3">
        <f>SUM(R51:R55)</f>
        <v>3850</v>
      </c>
      <c r="T56" s="18" t="s">
        <v>13</v>
      </c>
      <c r="V56" s="1" t="s">
        <v>13</v>
      </c>
    </row>
    <row r="57" spans="1:21" ht="15.75">
      <c r="A57" s="4"/>
      <c r="B57" s="13"/>
      <c r="C57" s="30"/>
      <c r="D57" s="13"/>
      <c r="E57" s="30"/>
      <c r="G57" s="4"/>
      <c r="H57" s="30"/>
      <c r="I57" s="4"/>
      <c r="M57" s="4"/>
      <c r="N57" s="13"/>
      <c r="O57" s="4"/>
      <c r="Q57" s="4"/>
      <c r="T57" s="17"/>
      <c r="U57" s="1" t="s">
        <v>13</v>
      </c>
    </row>
    <row r="58" spans="1:20" ht="15.75">
      <c r="A58" s="10" t="s">
        <v>12</v>
      </c>
      <c r="B58" s="25">
        <f>B15+B20+B30+B34+B39+B44+B50+B56</f>
        <v>308600</v>
      </c>
      <c r="C58" s="32"/>
      <c r="D58" s="25">
        <f>D15+D20+D30+D34+D39+D44+D50+D56</f>
        <v>297493.17000000004</v>
      </c>
      <c r="E58" s="32"/>
      <c r="F58" s="25">
        <f>F15+F20+F30+F34+F39+F44+F50+F56</f>
        <v>291000</v>
      </c>
      <c r="G58" s="4"/>
      <c r="H58" s="25">
        <f>H15+H20+H30+H34+H39+H44+H50+H56</f>
        <v>270647.2</v>
      </c>
      <c r="I58" s="4"/>
      <c r="J58" s="25">
        <f>J15+J20+J30+J34+J39+J44+J50+J56</f>
        <v>252500</v>
      </c>
      <c r="L58" s="25">
        <f>L15+L20+L30+L34+L39+L44+L50+L56</f>
        <v>255136.75999999998</v>
      </c>
      <c r="M58" s="4"/>
      <c r="N58" s="25">
        <f>N15+N20+N30+N34+N39+N44+N50+N56</f>
        <v>227230</v>
      </c>
      <c r="O58" s="4"/>
      <c r="P58" s="25">
        <f>P15+P20+P30+P34+P39+P44+P50+P56</f>
        <v>234752</v>
      </c>
      <c r="Q58" s="4"/>
      <c r="R58" s="25">
        <f>R15+R20+R30+R34+R39+R44+R50+R56</f>
        <v>206480</v>
      </c>
      <c r="T58" s="17"/>
    </row>
    <row r="59" spans="2:20" ht="15.75">
      <c r="B59" s="13"/>
      <c r="C59" s="38"/>
      <c r="D59" s="13"/>
      <c r="E59" s="38"/>
      <c r="G59" s="4"/>
      <c r="H59" s="30"/>
      <c r="I59" s="4"/>
      <c r="M59" s="4"/>
      <c r="N59" s="13"/>
      <c r="O59" s="4"/>
      <c r="Q59" s="4"/>
      <c r="T59" s="17"/>
    </row>
    <row r="60" spans="1:20" ht="16.5" thickBot="1">
      <c r="A60" s="10" t="s">
        <v>40</v>
      </c>
      <c r="B60" s="28">
        <f>SUM(B12-B58)</f>
        <v>0</v>
      </c>
      <c r="C60" s="32"/>
      <c r="D60" s="28">
        <f>SUM(D12-D58)</f>
        <v>10668.079999999958</v>
      </c>
      <c r="E60" s="32"/>
      <c r="F60" s="28">
        <f>SUM(F12-F58)</f>
        <v>0</v>
      </c>
      <c r="G60" s="4"/>
      <c r="H60" s="28">
        <f>SUM(H12-H58)+1</f>
        <v>13069.01999999996</v>
      </c>
      <c r="I60" s="4"/>
      <c r="J60" s="28">
        <f>SUM(J12-J58)</f>
        <v>0</v>
      </c>
      <c r="L60" s="29">
        <f>SUM(L12-L58)</f>
        <v>-131.55999999996857</v>
      </c>
      <c r="M60" s="4"/>
      <c r="N60" s="28">
        <f>SUM(N12-N58)</f>
        <v>-6780</v>
      </c>
      <c r="O60" s="4"/>
      <c r="P60" s="29">
        <f>SUM(P12-P58)</f>
        <v>5846</v>
      </c>
      <c r="Q60" s="4"/>
      <c r="R60" s="29">
        <f>SUM(R12-R58)</f>
        <v>1120</v>
      </c>
      <c r="T60" s="17"/>
    </row>
    <row r="61" spans="7:20" ht="16.5" thickTop="1">
      <c r="G61" s="4"/>
      <c r="H61" s="30"/>
      <c r="I61" s="4"/>
      <c r="M61" s="4"/>
      <c r="O61" s="4"/>
      <c r="P61" s="13"/>
      <c r="Q61" s="4"/>
      <c r="T61" s="17"/>
    </row>
    <row r="62" spans="1:20" ht="15.75">
      <c r="A62" s="4"/>
      <c r="B62" s="4"/>
      <c r="C62" s="4"/>
      <c r="D62" s="30"/>
      <c r="E62" s="4"/>
      <c r="G62" s="4"/>
      <c r="H62" s="30"/>
      <c r="I62" s="4"/>
      <c r="T62" s="17"/>
    </row>
    <row r="63" ht="15.75">
      <c r="T63" s="17"/>
    </row>
    <row r="64" ht="15.75">
      <c r="T64" s="17"/>
    </row>
    <row r="65" s="1" customFormat="1" ht="15.75">
      <c r="T65" s="17" t="s">
        <v>13</v>
      </c>
    </row>
    <row r="66" s="1" customFormat="1" ht="15.75">
      <c r="T66" s="17"/>
    </row>
  </sheetData>
  <sheetProtection/>
  <mergeCells count="1">
    <mergeCell ref="A1:R1"/>
  </mergeCells>
  <printOptions/>
  <pageMargins left="0.75" right="0.75" top="1" bottom="1" header="0.5" footer="0.5"/>
  <pageSetup orientation="portrait" paperSize="9" scale="70"/>
  <rowBreaks count="1" manualBreakCount="1">
    <brk id="60" max="255"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S72"/>
  <sheetViews>
    <sheetView zoomScale="125" zoomScaleNormal="125" zoomScalePageLayoutView="0" workbookViewId="0" topLeftCell="A1">
      <selection activeCell="H12" sqref="H12"/>
    </sheetView>
  </sheetViews>
  <sheetFormatPr defaultColWidth="9.00390625" defaultRowHeight="14.25"/>
  <cols>
    <col min="1" max="1" width="26.875" style="1" bestFit="1" customWidth="1"/>
    <col min="2" max="2" width="12.50390625" style="13" bestFit="1" customWidth="1"/>
    <col min="3" max="3" width="1.4921875" style="1" customWidth="1"/>
    <col min="4" max="4" width="10.875" style="38" bestFit="1" customWidth="1"/>
    <col min="5" max="5" width="1.4921875" style="1" customWidth="1"/>
    <col min="6" max="6" width="12.50390625" style="13" bestFit="1" customWidth="1"/>
    <col min="7" max="7" width="1.4921875" style="13" customWidth="1"/>
    <col min="8" max="8" width="11.625" style="3" bestFit="1" customWidth="1"/>
    <col min="9" max="9" width="1.4921875" style="1" customWidth="1"/>
    <col min="10" max="10" width="12.50390625" style="3" bestFit="1" customWidth="1"/>
    <col min="11" max="11" width="1.4921875" style="1" customWidth="1"/>
    <col min="12" max="12" width="11.625" style="3" hidden="1" customWidth="1"/>
    <col min="13" max="13" width="1.4921875" style="1" hidden="1" customWidth="1"/>
    <col min="14" max="14" width="12.50390625" style="3" hidden="1" customWidth="1"/>
    <col min="15" max="15" width="9.00390625" style="1" customWidth="1"/>
    <col min="16" max="16" width="10.50390625" style="1" bestFit="1" customWidth="1"/>
    <col min="17" max="16384" width="9.00390625" style="1" customWidth="1"/>
  </cols>
  <sheetData>
    <row r="1" spans="1:14" ht="15.75">
      <c r="A1" s="46" t="s">
        <v>45</v>
      </c>
      <c r="B1" s="47"/>
      <c r="C1" s="47"/>
      <c r="D1" s="47"/>
      <c r="E1" s="47"/>
      <c r="F1" s="47"/>
      <c r="G1" s="47"/>
      <c r="H1" s="47"/>
      <c r="I1" s="47"/>
      <c r="J1" s="47"/>
      <c r="K1" s="47"/>
      <c r="L1" s="47"/>
      <c r="M1" s="47"/>
      <c r="N1" s="47"/>
    </row>
    <row r="2" spans="1:5" ht="15.75">
      <c r="A2" s="2"/>
      <c r="C2" s="2"/>
      <c r="D2" s="34"/>
      <c r="E2" s="2"/>
    </row>
    <row r="3" spans="1:14" ht="15.75">
      <c r="A3" s="4"/>
      <c r="B3" s="21" t="s">
        <v>4</v>
      </c>
      <c r="C3" s="4"/>
      <c r="D3" s="30" t="s">
        <v>5</v>
      </c>
      <c r="E3" s="4"/>
      <c r="F3" s="21" t="s">
        <v>4</v>
      </c>
      <c r="G3" s="21"/>
      <c r="H3" s="5" t="s">
        <v>5</v>
      </c>
      <c r="I3" s="4"/>
      <c r="J3" s="21" t="s">
        <v>4</v>
      </c>
      <c r="K3" s="4"/>
      <c r="L3" s="5" t="s">
        <v>5</v>
      </c>
      <c r="M3" s="4"/>
      <c r="N3" s="5" t="s">
        <v>4</v>
      </c>
    </row>
    <row r="4" spans="1:14" ht="15.75">
      <c r="A4" s="4"/>
      <c r="B4" s="26" t="s">
        <v>46</v>
      </c>
      <c r="C4" s="4"/>
      <c r="D4" s="35" t="s">
        <v>44</v>
      </c>
      <c r="E4" s="4"/>
      <c r="F4" s="26" t="s">
        <v>44</v>
      </c>
      <c r="G4" s="22"/>
      <c r="H4" s="6" t="s">
        <v>14</v>
      </c>
      <c r="I4" s="4"/>
      <c r="J4" s="26" t="s">
        <v>14</v>
      </c>
      <c r="K4" s="7"/>
      <c r="L4" s="6" t="s">
        <v>15</v>
      </c>
      <c r="M4" s="7"/>
      <c r="N4" s="6" t="s">
        <v>15</v>
      </c>
    </row>
    <row r="5" spans="1:14" ht="15.75">
      <c r="A5" s="4"/>
      <c r="B5" s="27" t="s">
        <v>6</v>
      </c>
      <c r="C5" s="4"/>
      <c r="D5" s="36" t="s">
        <v>6</v>
      </c>
      <c r="E5" s="4"/>
      <c r="F5" s="27" t="s">
        <v>6</v>
      </c>
      <c r="G5" s="23"/>
      <c r="H5" s="8" t="s">
        <v>6</v>
      </c>
      <c r="I5" s="4"/>
      <c r="J5" s="27" t="s">
        <v>6</v>
      </c>
      <c r="K5" s="7"/>
      <c r="L5" s="8" t="s">
        <v>6</v>
      </c>
      <c r="M5" s="7"/>
      <c r="N5" s="8" t="s">
        <v>6</v>
      </c>
    </row>
    <row r="6" spans="1:16" ht="15.75">
      <c r="A6" s="10" t="s">
        <v>7</v>
      </c>
      <c r="B6" s="23"/>
      <c r="C6" s="4"/>
      <c r="D6" s="30"/>
      <c r="E6" s="4"/>
      <c r="F6" s="23"/>
      <c r="G6" s="23"/>
      <c r="H6" s="9"/>
      <c r="I6" s="4"/>
      <c r="J6" s="23"/>
      <c r="K6" s="7"/>
      <c r="L6" s="9"/>
      <c r="M6" s="7"/>
      <c r="N6" s="9"/>
      <c r="P6" s="16"/>
    </row>
    <row r="7" spans="1:16" ht="15.75">
      <c r="A7" s="4" t="s">
        <v>8</v>
      </c>
      <c r="B7" s="13">
        <f>(142000*1.09)+20220</f>
        <v>175000</v>
      </c>
      <c r="C7" s="4"/>
      <c r="D7" s="30">
        <v>167000</v>
      </c>
      <c r="E7" s="4"/>
      <c r="F7" s="13">
        <v>147750</v>
      </c>
      <c r="H7" s="3">
        <v>148920</v>
      </c>
      <c r="I7" s="4"/>
      <c r="J7" s="13">
        <v>130000</v>
      </c>
      <c r="K7" s="4"/>
      <c r="L7" s="3">
        <v>146869</v>
      </c>
      <c r="M7" s="4"/>
      <c r="N7" s="3">
        <v>123000</v>
      </c>
      <c r="P7" s="17" t="s">
        <v>13</v>
      </c>
    </row>
    <row r="8" spans="1:16" ht="15.75">
      <c r="A8" s="4" t="s">
        <v>16</v>
      </c>
      <c r="B8" s="13">
        <v>37000</v>
      </c>
      <c r="C8" s="4"/>
      <c r="D8" s="30">
        <v>38229.87</v>
      </c>
      <c r="E8" s="4"/>
      <c r="F8" s="13">
        <v>34000</v>
      </c>
      <c r="H8" s="3">
        <f>34704.2+627.5+227.5</f>
        <v>35559.2</v>
      </c>
      <c r="I8" s="4"/>
      <c r="J8" s="13">
        <v>30000</v>
      </c>
      <c r="K8" s="4"/>
      <c r="L8" s="3">
        <v>27602</v>
      </c>
      <c r="M8" s="4"/>
      <c r="N8" s="3">
        <v>23000</v>
      </c>
      <c r="P8" s="18" t="s">
        <v>13</v>
      </c>
    </row>
    <row r="9" spans="1:16" ht="15.75">
      <c r="A9" s="14" t="s">
        <v>41</v>
      </c>
      <c r="B9" s="13">
        <v>70000</v>
      </c>
      <c r="C9" s="4"/>
      <c r="D9" s="30">
        <v>69306.76</v>
      </c>
      <c r="E9" s="4"/>
      <c r="F9" s="13">
        <v>62000</v>
      </c>
      <c r="H9" s="3">
        <v>62469</v>
      </c>
      <c r="I9" s="4"/>
      <c r="J9" s="13">
        <v>54450</v>
      </c>
      <c r="K9" s="4"/>
      <c r="L9" s="3">
        <v>57803</v>
      </c>
      <c r="M9" s="4"/>
      <c r="N9" s="3">
        <v>53900</v>
      </c>
      <c r="P9" s="17"/>
    </row>
    <row r="10" spans="1:18" ht="15.75">
      <c r="A10" s="4" t="s">
        <v>17</v>
      </c>
      <c r="B10" s="13">
        <v>7000</v>
      </c>
      <c r="C10" s="4"/>
      <c r="D10" s="30">
        <v>7950.97</v>
      </c>
      <c r="E10" s="4"/>
      <c r="F10" s="13">
        <v>8000</v>
      </c>
      <c r="H10" s="3">
        <v>7307</v>
      </c>
      <c r="I10" s="4"/>
      <c r="J10" s="13">
        <v>6000</v>
      </c>
      <c r="K10" s="4"/>
      <c r="L10" s="3">
        <f>4466+2791+967</f>
        <v>8224</v>
      </c>
      <c r="M10" s="4"/>
      <c r="N10" s="3">
        <v>7700</v>
      </c>
      <c r="P10" s="17" t="s">
        <v>13</v>
      </c>
      <c r="R10" s="19" t="s">
        <v>13</v>
      </c>
    </row>
    <row r="11" spans="1:16" ht="16.5" thickBot="1">
      <c r="A11" s="4" t="s">
        <v>18</v>
      </c>
      <c r="B11" s="20">
        <v>2000</v>
      </c>
      <c r="C11" s="4"/>
      <c r="D11" s="33">
        <v>1227.62</v>
      </c>
      <c r="E11" s="4"/>
      <c r="F11" s="20">
        <v>750</v>
      </c>
      <c r="H11" s="15">
        <v>750</v>
      </c>
      <c r="I11" s="4"/>
      <c r="J11" s="20">
        <v>0</v>
      </c>
      <c r="K11" s="4"/>
      <c r="L11" s="15">
        <v>100</v>
      </c>
      <c r="M11" s="4"/>
      <c r="N11" s="15">
        <v>0</v>
      </c>
      <c r="P11" s="17"/>
    </row>
    <row r="12" spans="1:18" ht="15.75">
      <c r="A12" s="4"/>
      <c r="B12" s="13">
        <f>SUM(B7:B11)</f>
        <v>291000</v>
      </c>
      <c r="C12" s="4"/>
      <c r="D12" s="37">
        <f>SUM(D7:D11)</f>
        <v>283715.22</v>
      </c>
      <c r="E12" s="4"/>
      <c r="F12" s="13">
        <f>SUM(F7:F11)</f>
        <v>252500</v>
      </c>
      <c r="H12" s="3">
        <f>SUM(H7:H11)</f>
        <v>255005.2</v>
      </c>
      <c r="I12" s="4"/>
      <c r="J12" s="13">
        <f>SUM(J7:J11)</f>
        <v>220450</v>
      </c>
      <c r="K12" s="4"/>
      <c r="L12" s="3">
        <f>SUM(L7:L11)</f>
        <v>240598</v>
      </c>
      <c r="M12" s="4"/>
      <c r="N12" s="3">
        <f>SUM(N7:N11)</f>
        <v>207600</v>
      </c>
      <c r="P12" s="17"/>
      <c r="R12" s="3"/>
    </row>
    <row r="13" spans="1:16" ht="15.75">
      <c r="A13" s="10" t="s">
        <v>9</v>
      </c>
      <c r="C13" s="12"/>
      <c r="D13" s="31"/>
      <c r="E13" s="12"/>
      <c r="I13" s="4"/>
      <c r="J13" s="13"/>
      <c r="K13" s="4"/>
      <c r="M13" s="4"/>
      <c r="P13" s="17"/>
    </row>
    <row r="14" spans="1:16" ht="16.5" thickBot="1">
      <c r="A14" s="4" t="s">
        <v>42</v>
      </c>
      <c r="B14" s="20">
        <v>51000</v>
      </c>
      <c r="C14" s="4"/>
      <c r="D14" s="33">
        <v>49330.53</v>
      </c>
      <c r="E14" s="4"/>
      <c r="F14" s="20">
        <v>41000</v>
      </c>
      <c r="H14" s="15">
        <v>43882</v>
      </c>
      <c r="I14" s="4"/>
      <c r="J14" s="20">
        <v>38000</v>
      </c>
      <c r="K14" s="4"/>
      <c r="L14" s="15">
        <v>48500</v>
      </c>
      <c r="M14" s="11"/>
      <c r="N14" s="15">
        <v>36800</v>
      </c>
      <c r="P14" s="17" t="s">
        <v>13</v>
      </c>
    </row>
    <row r="15" spans="1:16" ht="15.75">
      <c r="A15" s="4"/>
      <c r="B15" s="13">
        <f>SUM(B14:B14)</f>
        <v>51000</v>
      </c>
      <c r="C15" s="4"/>
      <c r="D15" s="37">
        <f>SUM(D14:D14)</f>
        <v>49330.53</v>
      </c>
      <c r="E15" s="4"/>
      <c r="F15" s="13">
        <f>SUM(F14:F14)</f>
        <v>41000</v>
      </c>
      <c r="H15" s="3">
        <f>SUM(H14:H14)</f>
        <v>43882</v>
      </c>
      <c r="I15" s="4"/>
      <c r="J15" s="13">
        <f>SUM(J14:J14)</f>
        <v>38000</v>
      </c>
      <c r="K15" s="4"/>
      <c r="L15" s="3">
        <f>SUM(L14:L14)</f>
        <v>48500</v>
      </c>
      <c r="M15" s="4"/>
      <c r="N15" s="3">
        <f>SUM(N14:N14)</f>
        <v>36800</v>
      </c>
      <c r="P15" s="17"/>
    </row>
    <row r="16" spans="1:16" ht="15.75">
      <c r="A16" s="10"/>
      <c r="C16" s="12"/>
      <c r="D16" s="31"/>
      <c r="E16" s="12"/>
      <c r="I16" s="4"/>
      <c r="J16" s="13"/>
      <c r="K16" s="4"/>
      <c r="M16" s="4"/>
      <c r="P16" s="17"/>
    </row>
    <row r="17" spans="1:16" ht="15.75">
      <c r="A17" s="10" t="s">
        <v>19</v>
      </c>
      <c r="C17" s="10"/>
      <c r="D17" s="32"/>
      <c r="E17" s="10"/>
      <c r="I17" s="4"/>
      <c r="J17" s="13"/>
      <c r="K17" s="4"/>
      <c r="M17" s="11"/>
      <c r="P17" s="17"/>
    </row>
    <row r="18" spans="1:16" ht="15.75">
      <c r="A18" s="4" t="s">
        <v>1</v>
      </c>
      <c r="B18" s="13">
        <v>78500</v>
      </c>
      <c r="C18" s="4"/>
      <c r="D18" s="30">
        <v>61137.24</v>
      </c>
      <c r="E18" s="4"/>
      <c r="F18" s="13">
        <v>72000</v>
      </c>
      <c r="H18" s="3">
        <v>79751</v>
      </c>
      <c r="I18" s="4"/>
      <c r="J18" s="13">
        <v>72000</v>
      </c>
      <c r="K18" s="4"/>
      <c r="L18" s="3">
        <v>73155</v>
      </c>
      <c r="M18" s="11"/>
      <c r="N18" s="3">
        <v>70000</v>
      </c>
      <c r="P18" s="17" t="s">
        <v>13</v>
      </c>
    </row>
    <row r="19" spans="1:16" ht="15.75">
      <c r="A19" s="4" t="s">
        <v>20</v>
      </c>
      <c r="B19" s="13">
        <v>2000</v>
      </c>
      <c r="C19" s="4"/>
      <c r="D19" s="30">
        <v>1115</v>
      </c>
      <c r="E19" s="4"/>
      <c r="F19" s="13">
        <v>2000</v>
      </c>
      <c r="H19" s="3">
        <f>1910+335-795</f>
        <v>1450</v>
      </c>
      <c r="I19" s="4"/>
      <c r="J19" s="13">
        <v>2000</v>
      </c>
      <c r="K19" s="4"/>
      <c r="L19" s="3">
        <v>2015</v>
      </c>
      <c r="M19" s="11"/>
      <c r="N19" s="3">
        <v>2000</v>
      </c>
      <c r="P19" s="17"/>
    </row>
    <row r="20" spans="1:16" ht="16.5" thickBot="1">
      <c r="A20" s="4" t="s">
        <v>21</v>
      </c>
      <c r="B20" s="20">
        <v>23000</v>
      </c>
      <c r="C20" s="4"/>
      <c r="D20" s="33">
        <v>29330.72</v>
      </c>
      <c r="E20" s="4"/>
      <c r="F20" s="20">
        <v>15000</v>
      </c>
      <c r="G20" s="24"/>
      <c r="H20" s="15">
        <v>13384</v>
      </c>
      <c r="I20" s="4"/>
      <c r="J20" s="20">
        <v>12000</v>
      </c>
      <c r="K20" s="4"/>
      <c r="L20" s="15">
        <v>11515</v>
      </c>
      <c r="M20" s="4"/>
      <c r="N20" s="15">
        <v>12500</v>
      </c>
      <c r="P20" s="17" t="s">
        <v>13</v>
      </c>
    </row>
    <row r="21" spans="1:16" ht="15.75">
      <c r="A21" s="4"/>
      <c r="B21" s="13">
        <f>SUM(B17:B20)</f>
        <v>103500</v>
      </c>
      <c r="C21" s="4"/>
      <c r="D21" s="37">
        <f>SUM(D17:D20)</f>
        <v>91582.95999999999</v>
      </c>
      <c r="E21" s="4"/>
      <c r="F21" s="13">
        <f>SUM(F17:F20)</f>
        <v>89000</v>
      </c>
      <c r="H21" s="3">
        <f>SUM(H17:H20)</f>
        <v>94585</v>
      </c>
      <c r="I21" s="4"/>
      <c r="J21" s="13">
        <f>SUM(J17:J20)</f>
        <v>86000</v>
      </c>
      <c r="K21" s="4"/>
      <c r="L21" s="3">
        <f>SUM(L17:L20)</f>
        <v>86685</v>
      </c>
      <c r="M21" s="4"/>
      <c r="N21" s="3">
        <f>SUM(N17:N20)</f>
        <v>84500</v>
      </c>
      <c r="P21" s="17"/>
    </row>
    <row r="22" spans="1:16" ht="15.75">
      <c r="A22" s="4"/>
      <c r="C22" s="4"/>
      <c r="D22" s="30"/>
      <c r="E22" s="4"/>
      <c r="I22" s="4"/>
      <c r="J22" s="13"/>
      <c r="K22" s="4"/>
      <c r="M22" s="4"/>
      <c r="P22" s="17"/>
    </row>
    <row r="23" spans="1:16" ht="15.75">
      <c r="A23" s="10" t="s">
        <v>10</v>
      </c>
      <c r="C23" s="10"/>
      <c r="D23" s="32"/>
      <c r="E23" s="10"/>
      <c r="I23" s="4"/>
      <c r="J23" s="13"/>
      <c r="K23" s="4"/>
      <c r="M23" s="4"/>
      <c r="P23" s="17"/>
    </row>
    <row r="24" spans="1:16" ht="15.75">
      <c r="A24" s="4" t="s">
        <v>22</v>
      </c>
      <c r="B24" s="13">
        <v>500</v>
      </c>
      <c r="C24" s="4"/>
      <c r="D24" s="30">
        <v>328.75</v>
      </c>
      <c r="E24" s="4"/>
      <c r="F24" s="13">
        <v>500</v>
      </c>
      <c r="H24" s="3">
        <v>213</v>
      </c>
      <c r="I24" s="4"/>
      <c r="J24" s="13">
        <v>1500</v>
      </c>
      <c r="K24" s="4"/>
      <c r="L24" s="3">
        <v>0</v>
      </c>
      <c r="M24" s="4"/>
      <c r="N24" s="3">
        <v>3000</v>
      </c>
      <c r="P24" s="17" t="s">
        <v>13</v>
      </c>
    </row>
    <row r="25" spans="1:16" ht="15.75">
      <c r="A25" s="4" t="s">
        <v>23</v>
      </c>
      <c r="B25" s="13">
        <v>7500</v>
      </c>
      <c r="C25" s="4"/>
      <c r="D25" s="30">
        <v>3630</v>
      </c>
      <c r="E25" s="4"/>
      <c r="F25" s="13">
        <v>3630</v>
      </c>
      <c r="H25" s="3">
        <v>3630</v>
      </c>
      <c r="I25" s="4"/>
      <c r="J25" s="13">
        <v>3630</v>
      </c>
      <c r="K25" s="4"/>
      <c r="L25" s="3">
        <v>3630</v>
      </c>
      <c r="M25" s="4"/>
      <c r="N25" s="3">
        <v>3630</v>
      </c>
      <c r="P25" s="17"/>
    </row>
    <row r="26" spans="1:16" ht="15.75">
      <c r="A26" s="4" t="s">
        <v>24</v>
      </c>
      <c r="B26" s="13">
        <v>6500</v>
      </c>
      <c r="C26" s="4"/>
      <c r="D26" s="30">
        <v>10511</v>
      </c>
      <c r="E26" s="4"/>
      <c r="F26" s="13">
        <v>4500</v>
      </c>
      <c r="H26" s="3">
        <v>5661</v>
      </c>
      <c r="I26" s="4"/>
      <c r="J26" s="13">
        <v>4000</v>
      </c>
      <c r="K26" s="4"/>
      <c r="L26" s="3">
        <v>3796</v>
      </c>
      <c r="M26" s="4"/>
      <c r="N26" s="3">
        <v>4000</v>
      </c>
      <c r="P26" s="17"/>
    </row>
    <row r="27" spans="1:16" ht="15.75">
      <c r="A27" s="4" t="s">
        <v>0</v>
      </c>
      <c r="B27" s="13">
        <v>4000</v>
      </c>
      <c r="C27" s="4"/>
      <c r="D27" s="30">
        <v>3925.13</v>
      </c>
      <c r="E27" s="4"/>
      <c r="F27" s="13">
        <v>3000</v>
      </c>
      <c r="H27" s="3">
        <v>2760</v>
      </c>
      <c r="I27" s="4"/>
      <c r="J27" s="13">
        <v>4250</v>
      </c>
      <c r="K27" s="4"/>
      <c r="L27" s="3">
        <v>5231</v>
      </c>
      <c r="M27" s="4"/>
      <c r="N27" s="3">
        <v>4250</v>
      </c>
      <c r="P27" s="17"/>
    </row>
    <row r="28" spans="1:16" ht="15.75">
      <c r="A28" s="4" t="s">
        <v>11</v>
      </c>
      <c r="B28" s="13">
        <v>6500</v>
      </c>
      <c r="C28" s="4"/>
      <c r="D28" s="30">
        <v>6493.15</v>
      </c>
      <c r="E28" s="4"/>
      <c r="F28" s="13">
        <v>4000</v>
      </c>
      <c r="H28" s="3">
        <v>4556</v>
      </c>
      <c r="I28" s="4"/>
      <c r="J28" s="13">
        <v>3000</v>
      </c>
      <c r="K28" s="4"/>
      <c r="L28" s="3">
        <v>2850</v>
      </c>
      <c r="M28" s="4"/>
      <c r="N28" s="3">
        <v>1650</v>
      </c>
      <c r="P28" s="17"/>
    </row>
    <row r="29" spans="1:19" ht="15.75">
      <c r="A29" s="4" t="s">
        <v>25</v>
      </c>
      <c r="B29" s="13">
        <v>7500</v>
      </c>
      <c r="C29" s="4"/>
      <c r="D29" s="30">
        <v>6276.66</v>
      </c>
      <c r="E29" s="4"/>
      <c r="F29" s="13">
        <v>14000</v>
      </c>
      <c r="H29" s="3">
        <v>11297</v>
      </c>
      <c r="I29" s="4"/>
      <c r="J29" s="13">
        <v>17500</v>
      </c>
      <c r="K29" s="4"/>
      <c r="L29" s="3">
        <v>17657</v>
      </c>
      <c r="M29" s="4"/>
      <c r="N29" s="3">
        <v>13000</v>
      </c>
      <c r="P29" s="18" t="s">
        <v>13</v>
      </c>
      <c r="S29" s="1" t="s">
        <v>13</v>
      </c>
    </row>
    <row r="30" spans="1:16" ht="15.75">
      <c r="A30" s="4" t="s">
        <v>26</v>
      </c>
      <c r="B30" s="13">
        <v>1500</v>
      </c>
      <c r="C30" s="4"/>
      <c r="D30" s="30">
        <v>1310.03</v>
      </c>
      <c r="E30" s="4"/>
      <c r="F30" s="13">
        <v>1750</v>
      </c>
      <c r="H30" s="3">
        <v>1766</v>
      </c>
      <c r="I30" s="4"/>
      <c r="J30" s="13">
        <v>1250</v>
      </c>
      <c r="K30" s="4"/>
      <c r="L30" s="3">
        <v>1352</v>
      </c>
      <c r="M30" s="4"/>
      <c r="N30" s="3">
        <v>1750</v>
      </c>
      <c r="P30" s="18"/>
    </row>
    <row r="31" spans="1:16" ht="16.5" thickBot="1">
      <c r="A31" s="4" t="s">
        <v>2</v>
      </c>
      <c r="B31" s="20">
        <v>6000</v>
      </c>
      <c r="C31" s="4"/>
      <c r="D31" s="33">
        <v>5673.2</v>
      </c>
      <c r="E31" s="4"/>
      <c r="F31" s="20">
        <v>8500</v>
      </c>
      <c r="G31" s="24"/>
      <c r="H31" s="15">
        <v>8846</v>
      </c>
      <c r="I31" s="4"/>
      <c r="J31" s="20">
        <v>5000</v>
      </c>
      <c r="K31" s="4"/>
      <c r="L31" s="15">
        <v>8445</v>
      </c>
      <c r="M31" s="4"/>
      <c r="N31" s="15">
        <v>5000</v>
      </c>
      <c r="P31" s="17"/>
    </row>
    <row r="32" spans="1:16" ht="15.75">
      <c r="A32" s="4"/>
      <c r="B32" s="13">
        <f>SUM(B23:B31)</f>
        <v>40000</v>
      </c>
      <c r="C32" s="4"/>
      <c r="D32" s="37">
        <f>SUM(D23:D31)</f>
        <v>38147.92</v>
      </c>
      <c r="E32" s="4"/>
      <c r="F32" s="13">
        <f>SUM(F23:F31)</f>
        <v>39880</v>
      </c>
      <c r="H32" s="3">
        <f>SUM(H23:H31)</f>
        <v>38729</v>
      </c>
      <c r="I32" s="4"/>
      <c r="J32" s="13">
        <f>SUM(J23:J31)</f>
        <v>40130</v>
      </c>
      <c r="K32" s="4"/>
      <c r="L32" s="3">
        <f>SUM(L23:L31)</f>
        <v>42961</v>
      </c>
      <c r="M32" s="4"/>
      <c r="N32" s="3">
        <f>SUM(N23:N31)</f>
        <v>36280</v>
      </c>
      <c r="P32" s="17"/>
    </row>
    <row r="33" spans="1:16" ht="15.75">
      <c r="A33" s="4" t="s">
        <v>13</v>
      </c>
      <c r="C33" s="4"/>
      <c r="D33" s="30"/>
      <c r="E33" s="4"/>
      <c r="I33" s="4"/>
      <c r="J33" s="13"/>
      <c r="K33" s="4"/>
      <c r="M33" s="4"/>
      <c r="P33" s="17"/>
    </row>
    <row r="34" spans="1:16" ht="15.75">
      <c r="A34" s="10" t="s">
        <v>27</v>
      </c>
      <c r="C34" s="10"/>
      <c r="D34" s="32"/>
      <c r="E34" s="10"/>
      <c r="I34" s="4"/>
      <c r="J34" s="13"/>
      <c r="K34" s="4"/>
      <c r="M34" s="4"/>
      <c r="P34" s="17"/>
    </row>
    <row r="35" spans="1:16" ht="16.5" thickBot="1">
      <c r="A35" s="4" t="s">
        <v>50</v>
      </c>
      <c r="B35" s="20">
        <v>40000</v>
      </c>
      <c r="C35" s="4"/>
      <c r="D35" s="33">
        <v>38701.54</v>
      </c>
      <c r="E35" s="4"/>
      <c r="F35" s="20">
        <v>30000</v>
      </c>
      <c r="G35" s="24"/>
      <c r="H35" s="15">
        <f>5922.56+24166.73+440.74</f>
        <v>30530.030000000002</v>
      </c>
      <c r="I35" s="4"/>
      <c r="J35" s="20">
        <v>23500</v>
      </c>
      <c r="K35" s="4"/>
      <c r="L35" s="15">
        <v>17436</v>
      </c>
      <c r="M35" s="4"/>
      <c r="N35" s="15">
        <v>17000</v>
      </c>
      <c r="P35" s="17"/>
    </row>
    <row r="36" spans="1:16" ht="15.75">
      <c r="A36" s="4"/>
      <c r="B36" s="13">
        <f>SUM(B34:B35)</f>
        <v>40000</v>
      </c>
      <c r="C36" s="4"/>
      <c r="D36" s="37">
        <f>SUM(D34:D35)</f>
        <v>38701.54</v>
      </c>
      <c r="E36" s="4"/>
      <c r="F36" s="13">
        <f>SUM(F34:F35)</f>
        <v>30000</v>
      </c>
      <c r="H36" s="3">
        <f>SUM(H34:H35)</f>
        <v>30530.030000000002</v>
      </c>
      <c r="I36" s="4"/>
      <c r="J36" s="13">
        <f>SUM(J34:J35)</f>
        <v>23500</v>
      </c>
      <c r="K36" s="4"/>
      <c r="L36" s="3">
        <f>SUM(L34:L35)</f>
        <v>17436</v>
      </c>
      <c r="M36" s="4"/>
      <c r="N36" s="3">
        <f>SUM(N34:N35)</f>
        <v>17000</v>
      </c>
      <c r="P36" s="17"/>
    </row>
    <row r="37" spans="1:16" ht="15.75">
      <c r="A37" s="4"/>
      <c r="C37" s="4"/>
      <c r="D37" s="30"/>
      <c r="E37" s="4"/>
      <c r="I37" s="4"/>
      <c r="J37" s="13"/>
      <c r="K37" s="4"/>
      <c r="M37" s="4"/>
      <c r="P37" s="17"/>
    </row>
    <row r="38" spans="1:16" ht="15.75">
      <c r="A38" s="10" t="s">
        <v>28</v>
      </c>
      <c r="C38" s="10"/>
      <c r="D38" s="32"/>
      <c r="E38" s="10"/>
      <c r="I38" s="4"/>
      <c r="J38" s="13"/>
      <c r="K38" s="4"/>
      <c r="M38" s="4"/>
      <c r="P38" s="17"/>
    </row>
    <row r="39" spans="1:16" ht="15.75">
      <c r="A39" s="4" t="s">
        <v>29</v>
      </c>
      <c r="B39" s="13">
        <v>25000</v>
      </c>
      <c r="C39" s="4"/>
      <c r="D39" s="30">
        <v>24148.63</v>
      </c>
      <c r="E39" s="4"/>
      <c r="F39" s="13">
        <v>22500</v>
      </c>
      <c r="H39" s="3">
        <v>20061</v>
      </c>
      <c r="I39" s="4"/>
      <c r="J39" s="13">
        <v>20000</v>
      </c>
      <c r="K39" s="4"/>
      <c r="L39" s="3">
        <v>18364</v>
      </c>
      <c r="M39" s="4"/>
      <c r="N39" s="3">
        <v>16250</v>
      </c>
      <c r="P39" s="17"/>
    </row>
    <row r="40" spans="1:16" ht="15.75">
      <c r="A40" s="4" t="s">
        <v>30</v>
      </c>
      <c r="B40" s="13">
        <v>280</v>
      </c>
      <c r="C40" s="4"/>
      <c r="D40" s="30">
        <v>182.5</v>
      </c>
      <c r="E40" s="4"/>
      <c r="F40" s="13">
        <v>500</v>
      </c>
      <c r="H40" s="3">
        <v>603</v>
      </c>
      <c r="I40" s="4"/>
      <c r="J40" s="13">
        <v>500</v>
      </c>
      <c r="K40" s="4"/>
      <c r="L40" s="3">
        <v>308</v>
      </c>
      <c r="M40" s="4"/>
      <c r="N40" s="3">
        <v>150</v>
      </c>
      <c r="P40" s="17"/>
    </row>
    <row r="41" spans="1:16" ht="16.5" thickBot="1">
      <c r="A41" s="4" t="s">
        <v>31</v>
      </c>
      <c r="B41" s="20">
        <v>1000</v>
      </c>
      <c r="C41" s="4"/>
      <c r="D41" s="33">
        <v>1111.04</v>
      </c>
      <c r="E41" s="4"/>
      <c r="F41" s="20">
        <v>2000</v>
      </c>
      <c r="G41" s="24"/>
      <c r="H41" s="15">
        <v>2157</v>
      </c>
      <c r="I41" s="4"/>
      <c r="J41" s="20">
        <v>0</v>
      </c>
      <c r="K41" s="4"/>
      <c r="L41" s="15">
        <v>2096</v>
      </c>
      <c r="M41" s="4"/>
      <c r="N41" s="15">
        <v>1250</v>
      </c>
      <c r="P41" s="17"/>
    </row>
    <row r="42" spans="1:18" ht="15.75">
      <c r="A42" s="4"/>
      <c r="B42" s="13">
        <f>SUM(B38:B41)</f>
        <v>26280</v>
      </c>
      <c r="C42" s="4"/>
      <c r="D42" s="37">
        <f>SUM(D38:D41)</f>
        <v>25442.170000000002</v>
      </c>
      <c r="E42" s="4"/>
      <c r="F42" s="13">
        <f>SUM(F38:F41)</f>
        <v>25000</v>
      </c>
      <c r="H42" s="3">
        <f>SUM(H38:H41)</f>
        <v>22821</v>
      </c>
      <c r="I42" s="4"/>
      <c r="J42" s="13">
        <f>SUM(J38:J41)</f>
        <v>20500</v>
      </c>
      <c r="K42" s="4"/>
      <c r="L42" s="3">
        <f>SUM(L38:L41)</f>
        <v>20768</v>
      </c>
      <c r="M42" s="4"/>
      <c r="N42" s="3">
        <f>SUM(N38:N41)</f>
        <v>17650</v>
      </c>
      <c r="P42" s="18" t="s">
        <v>13</v>
      </c>
      <c r="R42" s="1" t="s">
        <v>13</v>
      </c>
    </row>
    <row r="43" spans="1:17" ht="15.75">
      <c r="A43" s="4"/>
      <c r="C43" s="4"/>
      <c r="D43" s="30"/>
      <c r="E43" s="4"/>
      <c r="I43" s="4"/>
      <c r="J43" s="13"/>
      <c r="K43" s="4"/>
      <c r="M43" s="4"/>
      <c r="P43" s="17"/>
      <c r="Q43" s="1" t="s">
        <v>13</v>
      </c>
    </row>
    <row r="44" spans="1:16" ht="15.75">
      <c r="A44" s="10" t="s">
        <v>32</v>
      </c>
      <c r="C44" s="10"/>
      <c r="D44" s="32"/>
      <c r="E44" s="10"/>
      <c r="I44" s="4"/>
      <c r="J44" s="13"/>
      <c r="K44" s="4"/>
      <c r="M44" s="4"/>
      <c r="P44" s="17"/>
    </row>
    <row r="45" spans="1:16" ht="15.75">
      <c r="A45" s="4" t="s">
        <v>33</v>
      </c>
      <c r="B45" s="13">
        <v>250</v>
      </c>
      <c r="C45" s="4"/>
      <c r="D45" s="30">
        <v>242.68</v>
      </c>
      <c r="E45" s="4"/>
      <c r="F45" s="13">
        <v>245</v>
      </c>
      <c r="H45" s="3">
        <v>277</v>
      </c>
      <c r="I45" s="4"/>
      <c r="J45" s="13">
        <v>225</v>
      </c>
      <c r="K45" s="4"/>
      <c r="L45" s="3">
        <v>224</v>
      </c>
      <c r="M45" s="4"/>
      <c r="N45" s="3">
        <v>200</v>
      </c>
      <c r="P45" s="17"/>
    </row>
    <row r="46" spans="1:16" ht="15.75">
      <c r="A46" s="4" t="s">
        <v>48</v>
      </c>
      <c r="B46" s="13">
        <v>3100</v>
      </c>
      <c r="C46" s="4"/>
      <c r="D46" s="30">
        <f>583.83+2775.13</f>
        <v>3358.96</v>
      </c>
      <c r="E46" s="4"/>
      <c r="F46" s="13">
        <v>3500</v>
      </c>
      <c r="H46" s="3">
        <f>932+332.75+2453.56</f>
        <v>3718.31</v>
      </c>
      <c r="I46" s="4"/>
      <c r="J46" s="13">
        <v>2500</v>
      </c>
      <c r="K46" s="4"/>
      <c r="L46" s="3">
        <v>1025</v>
      </c>
      <c r="M46" s="4"/>
      <c r="N46" s="3">
        <v>500</v>
      </c>
      <c r="P46" s="17"/>
    </row>
    <row r="47" spans="1:16" ht="16.5" thickBot="1">
      <c r="A47" s="4" t="s">
        <v>49</v>
      </c>
      <c r="B47" s="20">
        <v>0</v>
      </c>
      <c r="C47" s="4"/>
      <c r="D47" s="33">
        <f>-1640.3+286.73</f>
        <v>-1353.57</v>
      </c>
      <c r="E47" s="4"/>
      <c r="F47" s="20">
        <v>0</v>
      </c>
      <c r="G47" s="24"/>
      <c r="H47" s="15">
        <v>1499</v>
      </c>
      <c r="I47" s="4"/>
      <c r="J47" s="20">
        <v>0</v>
      </c>
      <c r="K47" s="4"/>
      <c r="L47" s="15">
        <v>-3690</v>
      </c>
      <c r="M47" s="4"/>
      <c r="N47" s="15">
        <v>1250</v>
      </c>
      <c r="P47" s="17"/>
    </row>
    <row r="48" spans="1:18" ht="15.75">
      <c r="A48" s="4"/>
      <c r="B48" s="13">
        <f>SUM(B44:B47)</f>
        <v>3350</v>
      </c>
      <c r="C48" s="4"/>
      <c r="D48" s="37">
        <f>SUM(D44:D47)</f>
        <v>2248.0699999999997</v>
      </c>
      <c r="E48" s="4"/>
      <c r="F48" s="13">
        <f>SUM(F44:F47)</f>
        <v>3745</v>
      </c>
      <c r="H48" s="3">
        <f>SUM(H44:H47)</f>
        <v>5494.3099999999995</v>
      </c>
      <c r="I48" s="4"/>
      <c r="J48" s="13">
        <f>SUM(J44:J47)</f>
        <v>2725</v>
      </c>
      <c r="K48" s="4"/>
      <c r="L48" s="3">
        <f>SUM(L44:L47)</f>
        <v>-2441</v>
      </c>
      <c r="M48" s="4"/>
      <c r="N48" s="3">
        <f>SUM(N44:N47)</f>
        <v>1950</v>
      </c>
      <c r="P48" s="18" t="s">
        <v>13</v>
      </c>
      <c r="R48" s="1" t="s">
        <v>13</v>
      </c>
    </row>
    <row r="49" spans="1:17" ht="15.75">
      <c r="A49" s="4"/>
      <c r="C49" s="4"/>
      <c r="D49" s="30"/>
      <c r="E49" s="4"/>
      <c r="I49" s="4"/>
      <c r="J49" s="13"/>
      <c r="K49" s="4"/>
      <c r="M49" s="4"/>
      <c r="P49" s="17"/>
      <c r="Q49" s="1" t="s">
        <v>13</v>
      </c>
    </row>
    <row r="50" spans="1:16" ht="15.75">
      <c r="A50" s="10" t="s">
        <v>34</v>
      </c>
      <c r="C50" s="10"/>
      <c r="D50" s="32"/>
      <c r="E50" s="10"/>
      <c r="I50" s="4"/>
      <c r="J50" s="13"/>
      <c r="K50" s="4"/>
      <c r="M50" s="4"/>
      <c r="P50" s="17"/>
    </row>
    <row r="51" spans="1:16" ht="15.75">
      <c r="A51" s="4" t="s">
        <v>35</v>
      </c>
      <c r="B51" s="13">
        <v>15000</v>
      </c>
      <c r="C51" s="4"/>
      <c r="D51" s="30">
        <v>15631.63</v>
      </c>
      <c r="E51" s="4"/>
      <c r="F51" s="13">
        <v>15000</v>
      </c>
      <c r="H51" s="3">
        <v>13629</v>
      </c>
      <c r="I51" s="4"/>
      <c r="J51" s="13">
        <v>12000</v>
      </c>
      <c r="K51" s="4"/>
      <c r="L51" s="3">
        <v>11047</v>
      </c>
      <c r="M51" s="4"/>
      <c r="N51" s="3">
        <v>7500</v>
      </c>
      <c r="P51" s="17"/>
    </row>
    <row r="52" spans="1:16" ht="15.75">
      <c r="A52" s="4" t="s">
        <v>47</v>
      </c>
      <c r="B52" s="13">
        <v>3000</v>
      </c>
      <c r="C52" s="4"/>
      <c r="D52" s="30">
        <v>1725</v>
      </c>
      <c r="E52" s="4"/>
      <c r="F52" s="13">
        <v>0</v>
      </c>
      <c r="H52" s="3">
        <v>0</v>
      </c>
      <c r="I52" s="4"/>
      <c r="J52" s="13">
        <v>0</v>
      </c>
      <c r="K52" s="4"/>
      <c r="L52" s="3">
        <v>0</v>
      </c>
      <c r="M52" s="4"/>
      <c r="N52" s="3">
        <v>0</v>
      </c>
      <c r="P52" s="17"/>
    </row>
    <row r="53" spans="1:16" ht="15.75">
      <c r="A53" s="4" t="s">
        <v>36</v>
      </c>
      <c r="B53" s="13">
        <v>1000</v>
      </c>
      <c r="C53" s="4"/>
      <c r="D53" s="30">
        <v>973.18</v>
      </c>
      <c r="E53" s="4"/>
      <c r="F53" s="13">
        <v>1000</v>
      </c>
      <c r="H53" s="3">
        <v>507</v>
      </c>
      <c r="I53" s="4"/>
      <c r="J53" s="13">
        <v>1000</v>
      </c>
      <c r="K53" s="4"/>
      <c r="L53" s="3">
        <v>1165</v>
      </c>
      <c r="M53" s="4"/>
      <c r="N53" s="3">
        <v>500</v>
      </c>
      <c r="P53" s="17"/>
    </row>
    <row r="54" spans="1:16" ht="16.5" thickBot="1">
      <c r="A54" s="4" t="s">
        <v>37</v>
      </c>
      <c r="B54" s="20">
        <v>1000</v>
      </c>
      <c r="C54" s="4"/>
      <c r="D54" s="33">
        <v>673.45</v>
      </c>
      <c r="E54" s="4"/>
      <c r="F54" s="20">
        <v>2000</v>
      </c>
      <c r="G54" s="24"/>
      <c r="H54" s="15">
        <f>287.67+203.8+45.62+173.65+795</f>
        <v>1505.74</v>
      </c>
      <c r="I54" s="4"/>
      <c r="J54" s="20">
        <v>250</v>
      </c>
      <c r="K54" s="4"/>
      <c r="L54" s="15">
        <f>245+208</f>
        <v>453</v>
      </c>
      <c r="M54" s="4"/>
      <c r="N54" s="15">
        <v>450</v>
      </c>
      <c r="P54" s="17"/>
    </row>
    <row r="55" spans="1:18" ht="15.75">
      <c r="A55" s="4"/>
      <c r="B55" s="13">
        <f>SUM(B50:B54)</f>
        <v>20000</v>
      </c>
      <c r="C55" s="4"/>
      <c r="D55" s="13">
        <f>SUM(D50:D54)</f>
        <v>19003.26</v>
      </c>
      <c r="E55" s="4"/>
      <c r="F55" s="13">
        <f>SUM(F50:F54)</f>
        <v>18000</v>
      </c>
      <c r="H55" s="3">
        <f>SUM(H50:H54)</f>
        <v>15641.74</v>
      </c>
      <c r="I55" s="4"/>
      <c r="J55" s="13">
        <f>SUM(J50:J54)</f>
        <v>13250</v>
      </c>
      <c r="K55" s="4"/>
      <c r="L55" s="3">
        <f>SUM(L50:L54)</f>
        <v>12665</v>
      </c>
      <c r="M55" s="4"/>
      <c r="N55" s="3">
        <f>SUM(N50:N54)</f>
        <v>8450</v>
      </c>
      <c r="P55" s="18" t="s">
        <v>13</v>
      </c>
      <c r="R55" s="1" t="s">
        <v>13</v>
      </c>
    </row>
    <row r="56" spans="1:17" ht="15.75">
      <c r="A56" s="4"/>
      <c r="C56" s="4"/>
      <c r="D56" s="30"/>
      <c r="E56" s="4"/>
      <c r="I56" s="4"/>
      <c r="J56" s="13"/>
      <c r="K56" s="4"/>
      <c r="M56" s="4"/>
      <c r="P56" s="17"/>
      <c r="Q56" s="1" t="s">
        <v>13</v>
      </c>
    </row>
    <row r="57" spans="1:16" ht="15.75">
      <c r="A57" s="10" t="s">
        <v>38</v>
      </c>
      <c r="C57" s="10"/>
      <c r="D57" s="32"/>
      <c r="E57" s="10"/>
      <c r="I57" s="4"/>
      <c r="J57" s="13"/>
      <c r="K57" s="4"/>
      <c r="M57" s="4"/>
      <c r="P57" s="17"/>
    </row>
    <row r="58" spans="1:16" ht="15.75">
      <c r="A58" s="4" t="s">
        <v>39</v>
      </c>
      <c r="B58" s="13">
        <v>5250</v>
      </c>
      <c r="C58" s="4"/>
      <c r="D58" s="30">
        <v>4933.26</v>
      </c>
      <c r="E58" s="4"/>
      <c r="F58" s="13">
        <v>5000</v>
      </c>
      <c r="H58" s="3">
        <v>4770</v>
      </c>
      <c r="I58" s="4"/>
      <c r="J58" s="13">
        <v>3000</v>
      </c>
      <c r="K58" s="4"/>
      <c r="L58" s="3">
        <v>6927</v>
      </c>
      <c r="M58" s="4"/>
      <c r="N58" s="3">
        <v>2850</v>
      </c>
      <c r="P58" s="17"/>
    </row>
    <row r="59" spans="1:16" ht="15.75">
      <c r="A59" s="4" t="s">
        <v>3</v>
      </c>
      <c r="B59" s="13">
        <v>2500</v>
      </c>
      <c r="C59" s="4"/>
      <c r="D59" s="30">
        <v>2206.46</v>
      </c>
      <c r="E59" s="4"/>
      <c r="F59" s="13">
        <v>2000</v>
      </c>
      <c r="H59" s="3">
        <v>1937.58</v>
      </c>
      <c r="I59" s="4"/>
      <c r="J59" s="13">
        <v>1250</v>
      </c>
      <c r="K59" s="4"/>
      <c r="L59" s="3">
        <v>1384</v>
      </c>
      <c r="M59" s="4"/>
      <c r="N59" s="3">
        <v>900</v>
      </c>
      <c r="P59" s="17"/>
    </row>
    <row r="60" spans="1:16" ht="15.75">
      <c r="A60" s="4" t="s">
        <v>43</v>
      </c>
      <c r="B60" s="13">
        <v>-980</v>
      </c>
      <c r="C60" s="4"/>
      <c r="D60" s="30">
        <v>-1160.72</v>
      </c>
      <c r="E60" s="4"/>
      <c r="F60" s="13">
        <v>-1325</v>
      </c>
      <c r="H60" s="3">
        <v>-1328</v>
      </c>
      <c r="I60" s="4"/>
      <c r="J60" s="13">
        <v>-1325</v>
      </c>
      <c r="K60" s="4"/>
      <c r="L60" s="3">
        <v>-1488</v>
      </c>
      <c r="M60" s="4"/>
      <c r="N60" s="3">
        <v>0</v>
      </c>
      <c r="P60" s="17"/>
    </row>
    <row r="61" spans="1:16" ht="16.5" thickBot="1">
      <c r="A61" s="4" t="s">
        <v>20</v>
      </c>
      <c r="B61" s="20">
        <v>100</v>
      </c>
      <c r="C61" s="4"/>
      <c r="D61" s="33">
        <v>211.75</v>
      </c>
      <c r="E61" s="4"/>
      <c r="F61" s="20">
        <v>200</v>
      </c>
      <c r="G61" s="24"/>
      <c r="H61" s="15">
        <f>206-2131.9</f>
        <v>-1925.9</v>
      </c>
      <c r="I61" s="4"/>
      <c r="J61" s="20">
        <v>200</v>
      </c>
      <c r="K61" s="4"/>
      <c r="L61" s="15">
        <v>1355</v>
      </c>
      <c r="M61" s="4"/>
      <c r="N61" s="15">
        <v>100</v>
      </c>
      <c r="P61" s="17"/>
    </row>
    <row r="62" spans="1:18" ht="15.75">
      <c r="A62" s="4"/>
      <c r="B62" s="13">
        <f>SUM(B57:B61)</f>
        <v>6870</v>
      </c>
      <c r="C62" s="4"/>
      <c r="D62" s="13">
        <f>SUM(D57:D61)</f>
        <v>6190.75</v>
      </c>
      <c r="E62" s="4"/>
      <c r="F62" s="13">
        <f>SUM(F57:F61)</f>
        <v>5875</v>
      </c>
      <c r="H62" s="3">
        <f>SUM(H57:H61)</f>
        <v>3453.68</v>
      </c>
      <c r="I62" s="4"/>
      <c r="J62" s="13">
        <f>SUM(J57:J61)</f>
        <v>3125</v>
      </c>
      <c r="K62" s="4"/>
      <c r="L62" s="3">
        <f>SUM(L57:L61)</f>
        <v>8178</v>
      </c>
      <c r="M62" s="4"/>
      <c r="N62" s="3">
        <f>SUM(N57:N61)</f>
        <v>3850</v>
      </c>
      <c r="P62" s="18" t="s">
        <v>13</v>
      </c>
      <c r="R62" s="1" t="s">
        <v>13</v>
      </c>
    </row>
    <row r="63" spans="1:17" ht="15.75">
      <c r="A63" s="4"/>
      <c r="C63" s="4"/>
      <c r="D63" s="30"/>
      <c r="E63" s="4"/>
      <c r="I63" s="4"/>
      <c r="J63" s="13"/>
      <c r="K63" s="4"/>
      <c r="M63" s="4"/>
      <c r="P63" s="17"/>
      <c r="Q63" s="1" t="s">
        <v>13</v>
      </c>
    </row>
    <row r="64" spans="1:16" ht="15.75">
      <c r="A64" s="10" t="s">
        <v>12</v>
      </c>
      <c r="B64" s="25">
        <f>B15+B21+B32+B36+B42+B48+B55+B62</f>
        <v>291000</v>
      </c>
      <c r="C64" s="4"/>
      <c r="D64" s="25">
        <f>D15+D21+D32+D36+D42+D48+D55+D62</f>
        <v>270647.2</v>
      </c>
      <c r="E64" s="4"/>
      <c r="F64" s="25">
        <f>F15+F21+F32+F36+F42+F48+F55+F62</f>
        <v>252500</v>
      </c>
      <c r="H64" s="25">
        <f>H15+H21+H32+H36+H42+H48+H55+H62</f>
        <v>255136.75999999998</v>
      </c>
      <c r="I64" s="4"/>
      <c r="J64" s="25">
        <f>J15+J21+J32+J36+J42+J48+J55+J62</f>
        <v>227230</v>
      </c>
      <c r="K64" s="4"/>
      <c r="L64" s="25">
        <f>L15+L21+L32+L36+L42+L48+L55+L62</f>
        <v>234752</v>
      </c>
      <c r="M64" s="4"/>
      <c r="N64" s="25">
        <f>N15+N21+N32+N36+N42+N48+N55+N62</f>
        <v>206480</v>
      </c>
      <c r="P64" s="17"/>
    </row>
    <row r="65" spans="3:16" ht="15.75">
      <c r="C65" s="4"/>
      <c r="D65" s="30"/>
      <c r="E65" s="4"/>
      <c r="I65" s="4"/>
      <c r="J65" s="13"/>
      <c r="K65" s="4"/>
      <c r="M65" s="4"/>
      <c r="P65" s="17"/>
    </row>
    <row r="66" spans="1:16" ht="16.5" thickBot="1">
      <c r="A66" s="10" t="s">
        <v>40</v>
      </c>
      <c r="B66" s="28">
        <f>SUM(B12-B64)</f>
        <v>0</v>
      </c>
      <c r="C66" s="4"/>
      <c r="D66" s="28">
        <f>SUM(D12-D64)+1</f>
        <v>13069.01999999996</v>
      </c>
      <c r="E66" s="4"/>
      <c r="F66" s="28">
        <f>SUM(F12-F64)</f>
        <v>0</v>
      </c>
      <c r="H66" s="29">
        <f>SUM(H12-H64)</f>
        <v>-131.55999999996857</v>
      </c>
      <c r="I66" s="4"/>
      <c r="J66" s="28">
        <f>SUM(J12-J64)</f>
        <v>-6780</v>
      </c>
      <c r="K66" s="4"/>
      <c r="L66" s="29">
        <f>SUM(L12-L64)</f>
        <v>5846</v>
      </c>
      <c r="M66" s="4"/>
      <c r="N66" s="29">
        <f>SUM(N12-N64)</f>
        <v>1120</v>
      </c>
      <c r="P66" s="17"/>
    </row>
    <row r="67" spans="3:16" ht="16.5" thickTop="1">
      <c r="C67" s="4"/>
      <c r="D67" s="30"/>
      <c r="E67" s="4"/>
      <c r="I67" s="4"/>
      <c r="K67" s="4"/>
      <c r="L67" s="13"/>
      <c r="M67" s="4"/>
      <c r="P67" s="17"/>
    </row>
    <row r="68" spans="1:16" ht="15.75">
      <c r="A68" s="4"/>
      <c r="C68" s="4"/>
      <c r="D68" s="30"/>
      <c r="E68" s="4"/>
      <c r="P68" s="17"/>
    </row>
    <row r="69" ht="15.75">
      <c r="P69" s="17"/>
    </row>
    <row r="70" ht="15.75">
      <c r="P70" s="17"/>
    </row>
    <row r="71" ht="15.75">
      <c r="P71" s="17" t="s">
        <v>13</v>
      </c>
    </row>
    <row r="72" ht="15.75">
      <c r="P72" s="17"/>
    </row>
  </sheetData>
  <sheetProtection/>
  <mergeCells count="1">
    <mergeCell ref="A1:N1"/>
  </mergeCells>
  <printOptions/>
  <pageMargins left="0.7500000000000001" right="0.35000000000000003" top="0.71" bottom="0.7900000000000001" header="0.51" footer="0.51"/>
  <pageSetup firstPageNumber="3" useFirstPageNumber="1" fitToHeight="1" fitToWidth="1" horizontalDpi="300" verticalDpi="300" orientation="portrait" paperSize="9" scale="52"/>
  <ignoredErrors>
    <ignoredError sqref="F55 H55 F12 H12 F15 H15 F21 H21 F32 H32 F36 H36 F62 H62 F48 H48 F42 H42 D21 B21 J21 L21 N21 N32 L32 J32 D32 B32 B36 D36 J36 L36 N36 N42 L42 J42 D42 B42 B48 D48 J48 L48 N48 B55 D55 J55 L55 N55 N62 L62 J62 D62 B62" emptyCellReferenc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SMDMH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SMDMH</dc:creator>
  <cp:keywords/>
  <dc:description/>
  <cp:lastModifiedBy>Henk Cozijn</cp:lastModifiedBy>
  <cp:lastPrinted>2021-10-30T15:54:48Z</cp:lastPrinted>
  <dcterms:created xsi:type="dcterms:W3CDTF">2007-02-20T12:33:55Z</dcterms:created>
  <dcterms:modified xsi:type="dcterms:W3CDTF">2021-11-14T21:34:10Z</dcterms:modified>
  <cp:category/>
  <cp:version/>
  <cp:contentType/>
  <cp:contentStatus/>
</cp:coreProperties>
</file>